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 HYBRID UPDATES 230609\! 00 S&amp;P TT\"/>
    </mc:Choice>
  </mc:AlternateContent>
  <xr:revisionPtr revIDLastSave="0" documentId="13_ncr:1_{A5A3F7F5-E589-4387-825D-5E7AE439C7B9}" xr6:coauthVersionLast="47" xr6:coauthVersionMax="47" xr10:uidLastSave="{00000000-0000-0000-0000-000000000000}"/>
  <bookViews>
    <workbookView xWindow="0" yWindow="0" windowWidth="11565" windowHeight="14820" xr2:uid="{00000000-000D-0000-FFFF-FFFF00000000}"/>
  </bookViews>
  <sheets>
    <sheet name="STATEMEN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5" i="1" l="1"/>
  <c r="U150" i="1"/>
  <c r="T150" i="1"/>
  <c r="S150" i="1"/>
  <c r="Q150" i="1"/>
  <c r="P150" i="1"/>
  <c r="R150" i="1" s="1"/>
  <c r="L187" i="1"/>
  <c r="K187" i="1"/>
  <c r="G187" i="1"/>
  <c r="F187" i="1"/>
  <c r="E187" i="1"/>
  <c r="K194" i="1"/>
  <c r="K193" i="1"/>
  <c r="U149" i="1"/>
  <c r="T149" i="1"/>
  <c r="S149" i="1"/>
  <c r="P149" i="1"/>
  <c r="R149" i="1" s="1"/>
  <c r="U148" i="1"/>
  <c r="T148" i="1"/>
  <c r="S148" i="1"/>
  <c r="P148" i="1"/>
  <c r="R148" i="1" s="1"/>
  <c r="U147" i="1"/>
  <c r="T147" i="1"/>
  <c r="S147" i="1"/>
  <c r="P147" i="1"/>
  <c r="R147" i="1" s="1"/>
  <c r="G184" i="1"/>
  <c r="U146" i="1"/>
  <c r="T146" i="1"/>
  <c r="S146" i="1"/>
  <c r="P146" i="1"/>
  <c r="R146" i="1" s="1"/>
  <c r="G183" i="1"/>
  <c r="F183" i="1"/>
  <c r="U145" i="1"/>
  <c r="T145" i="1"/>
  <c r="S145" i="1"/>
  <c r="P145" i="1"/>
  <c r="R145" i="1" s="1"/>
  <c r="G182" i="1"/>
  <c r="F182" i="1"/>
  <c r="F186" i="1" s="1"/>
  <c r="I189" i="1"/>
  <c r="U144" i="1"/>
  <c r="T144" i="1"/>
  <c r="S144" i="1"/>
  <c r="P144" i="1"/>
  <c r="R144" i="1" s="1"/>
  <c r="F181" i="1"/>
  <c r="F185" i="1" s="1"/>
  <c r="U143" i="1"/>
  <c r="T143" i="1"/>
  <c r="S143" i="1"/>
  <c r="P143" i="1"/>
  <c r="R143" i="1" s="1"/>
  <c r="U142" i="1"/>
  <c r="T142" i="1"/>
  <c r="S142" i="1"/>
  <c r="P142" i="1"/>
  <c r="R142" i="1" s="1"/>
  <c r="U141" i="1"/>
  <c r="T141" i="1"/>
  <c r="S141" i="1"/>
  <c r="P141" i="1"/>
  <c r="R141" i="1" s="1"/>
  <c r="U140" i="1"/>
  <c r="T140" i="1"/>
  <c r="S140" i="1"/>
  <c r="P140" i="1"/>
  <c r="R140" i="1" s="1"/>
  <c r="S139" i="1"/>
  <c r="T139" i="1"/>
  <c r="U139" i="1"/>
  <c r="P139" i="1"/>
  <c r="R139" i="1" s="1"/>
  <c r="U138" i="1"/>
  <c r="T138" i="1" s="1"/>
  <c r="P138" i="1"/>
  <c r="R138" i="1" s="1"/>
  <c r="U137" i="1"/>
  <c r="S137" i="1" s="1"/>
  <c r="P137" i="1"/>
  <c r="R137" i="1" s="1"/>
  <c r="N191" i="1"/>
  <c r="E15" i="1"/>
  <c r="E30" i="1" s="1"/>
  <c r="E45" i="1" s="1"/>
  <c r="E60" i="1" s="1"/>
  <c r="E75" i="1" s="1"/>
  <c r="E90" i="1" s="1"/>
  <c r="E105" i="1" s="1"/>
  <c r="K199" i="1"/>
  <c r="U136" i="1"/>
  <c r="S136" i="1" s="1"/>
  <c r="P136" i="1"/>
  <c r="R136" i="1" s="1"/>
  <c r="U135" i="1"/>
  <c r="T135" i="1" s="1"/>
  <c r="P135" i="1"/>
  <c r="R135" i="1" s="1"/>
  <c r="I168" i="1"/>
  <c r="U134" i="1" s="1"/>
  <c r="S134" i="1" s="1"/>
  <c r="P134" i="1"/>
  <c r="R134" i="1" s="1"/>
  <c r="F168" i="1"/>
  <c r="F172" i="1" s="1"/>
  <c r="F176" i="1" s="1"/>
  <c r="U133" i="1"/>
  <c r="S133" i="1" s="1"/>
  <c r="P133" i="1"/>
  <c r="R133" i="1" s="1"/>
  <c r="F167" i="1"/>
  <c r="F171" i="1" s="1"/>
  <c r="F175" i="1" s="1"/>
  <c r="U132" i="1"/>
  <c r="S132" i="1" s="1"/>
  <c r="P132" i="1"/>
  <c r="R132" i="1" s="1"/>
  <c r="G166" i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80" i="1" s="1"/>
  <c r="G185" i="1" s="1"/>
  <c r="F166" i="1"/>
  <c r="F170" i="1" s="1"/>
  <c r="F174" i="1" s="1"/>
  <c r="P131" i="1"/>
  <c r="R131" i="1" s="1"/>
  <c r="U131" i="1"/>
  <c r="S131" i="1" s="1"/>
  <c r="U130" i="1"/>
  <c r="T130" i="1" s="1"/>
  <c r="P130" i="1"/>
  <c r="R130" i="1" s="1"/>
  <c r="U129" i="1"/>
  <c r="T129" i="1" s="1"/>
  <c r="P129" i="1"/>
  <c r="R129" i="1" s="1"/>
  <c r="U128" i="1"/>
  <c r="S128" i="1" s="1"/>
  <c r="P128" i="1"/>
  <c r="R128" i="1" s="1"/>
  <c r="U127" i="1"/>
  <c r="S127" i="1" s="1"/>
  <c r="P127" i="1"/>
  <c r="R127" i="1" s="1"/>
  <c r="P126" i="1"/>
  <c r="R126" i="1" s="1"/>
  <c r="U126" i="1"/>
  <c r="S126" i="1" s="1"/>
  <c r="R125" i="1"/>
  <c r="U125" i="1"/>
  <c r="S125" i="1" s="1"/>
  <c r="I163" i="1"/>
  <c r="M162" i="1" s="1"/>
  <c r="U124" i="1"/>
  <c r="P124" i="1"/>
  <c r="R124" i="1" s="1"/>
  <c r="G153" i="1"/>
  <c r="U123" i="1"/>
  <c r="P123" i="1"/>
  <c r="R123" i="1" s="1"/>
  <c r="U122" i="1"/>
  <c r="S122" i="1" s="1"/>
  <c r="P122" i="1"/>
  <c r="R122" i="1" s="1"/>
  <c r="U121" i="1"/>
  <c r="S121" i="1" s="1"/>
  <c r="P121" i="1"/>
  <c r="R121" i="1" s="1"/>
  <c r="F153" i="1"/>
  <c r="F157" i="1" s="1"/>
  <c r="F161" i="1" s="1"/>
  <c r="F165" i="1" s="1"/>
  <c r="F169" i="1" s="1"/>
  <c r="F173" i="1" s="1"/>
  <c r="F180" i="1" s="1"/>
  <c r="F184" i="1" s="1"/>
  <c r="P120" i="1"/>
  <c r="R120" i="1" s="1"/>
  <c r="U120" i="1"/>
  <c r="S120" i="1" s="1"/>
  <c r="G152" i="1"/>
  <c r="F152" i="1"/>
  <c r="F156" i="1" s="1"/>
  <c r="F160" i="1" s="1"/>
  <c r="P119" i="1"/>
  <c r="R119" i="1" s="1"/>
  <c r="P118" i="1"/>
  <c r="R118" i="1" s="1"/>
  <c r="U119" i="1"/>
  <c r="U118" i="1"/>
  <c r="S118" i="1" s="1"/>
  <c r="G151" i="1"/>
  <c r="F151" i="1"/>
  <c r="F155" i="1" s="1"/>
  <c r="F159" i="1" s="1"/>
  <c r="D196" i="1"/>
  <c r="D198" i="1" s="1"/>
  <c r="F150" i="1"/>
  <c r="F154" i="1" s="1"/>
  <c r="F158" i="1" s="1"/>
  <c r="U117" i="1"/>
  <c r="S117" i="1" s="1"/>
  <c r="P117" i="1"/>
  <c r="R117" i="1" s="1"/>
  <c r="G181" i="1" l="1"/>
  <c r="G186" i="1" s="1"/>
  <c r="M189" i="1"/>
  <c r="I178" i="1"/>
  <c r="S124" i="1"/>
  <c r="T123" i="1"/>
  <c r="S119" i="1"/>
  <c r="U116" i="1"/>
  <c r="P116" i="1"/>
  <c r="R116" i="1" s="1"/>
  <c r="M177" i="1" l="1"/>
  <c r="I207" i="1"/>
  <c r="U115" i="1"/>
  <c r="T115" i="1" s="1"/>
  <c r="P115" i="1"/>
  <c r="R115" i="1" s="1"/>
  <c r="U114" i="1" l="1"/>
  <c r="S114" i="1" s="1"/>
  <c r="P114" i="1"/>
  <c r="R114" i="1" s="1"/>
  <c r="U113" i="1" l="1"/>
  <c r="S113" i="1" s="1"/>
  <c r="P113" i="1"/>
  <c r="R113" i="1" s="1"/>
  <c r="P112" i="1" l="1"/>
  <c r="R112" i="1" s="1"/>
  <c r="U112" i="1"/>
  <c r="T112" i="1" s="1"/>
  <c r="U111" i="1" l="1"/>
  <c r="T111" i="1" s="1"/>
  <c r="P111" i="1"/>
  <c r="R111" i="1" s="1"/>
  <c r="U110" i="1" l="1"/>
  <c r="T110" i="1" s="1"/>
  <c r="P110" i="1"/>
  <c r="R110" i="1" s="1"/>
  <c r="U109" i="1" l="1"/>
  <c r="S109" i="1" s="1"/>
  <c r="P109" i="1"/>
  <c r="R109" i="1" s="1"/>
  <c r="R108" i="1" l="1"/>
  <c r="U107" i="1"/>
  <c r="T107" i="1" s="1"/>
  <c r="U108" i="1"/>
  <c r="S108" i="1" s="1"/>
  <c r="U106" i="1" l="1"/>
  <c r="S106" i="1" s="1"/>
  <c r="U105" i="1" l="1"/>
  <c r="U104" i="1"/>
  <c r="I148" i="1"/>
  <c r="M148" i="1" s="1"/>
  <c r="J135" i="1"/>
  <c r="S105" i="1" l="1"/>
  <c r="S104" i="1"/>
  <c r="U103" i="1"/>
  <c r="S103" i="1" s="1"/>
  <c r="U102" i="1"/>
  <c r="T102" i="1" s="1"/>
  <c r="U101" i="1" l="1"/>
  <c r="S101" i="1" s="1"/>
  <c r="U100" i="1"/>
  <c r="S100" i="1" s="1"/>
  <c r="U99" i="1"/>
  <c r="S99" i="1" s="1"/>
  <c r="U98" i="1"/>
  <c r="S98" i="1" s="1"/>
  <c r="U97" i="1"/>
  <c r="S97" i="1" s="1"/>
  <c r="U96" i="1"/>
  <c r="S96" i="1" s="1"/>
  <c r="U95" i="1"/>
  <c r="S95" i="1" s="1"/>
  <c r="U94" i="1"/>
  <c r="S94" i="1" s="1"/>
  <c r="F121" i="1" l="1"/>
  <c r="F122" i="1" s="1"/>
  <c r="G121" i="1" l="1"/>
  <c r="F123" i="1"/>
  <c r="F124" i="1" s="1"/>
  <c r="F125" i="1" s="1"/>
  <c r="F126" i="1" s="1"/>
  <c r="F127" i="1" s="1"/>
  <c r="F128" i="1" s="1"/>
  <c r="F129" i="1" s="1"/>
  <c r="F130" i="1" s="1"/>
  <c r="F131" i="1" s="1"/>
  <c r="G122" i="1"/>
  <c r="G123" i="1" s="1"/>
  <c r="G124" i="1" s="1"/>
  <c r="G125" i="1" s="1"/>
  <c r="G126" i="1" s="1"/>
  <c r="G127" i="1" s="1"/>
  <c r="G128" i="1" s="1"/>
  <c r="G129" i="1" s="1"/>
  <c r="G130" i="1" s="1"/>
  <c r="G131" i="1" s="1"/>
  <c r="I133" i="1"/>
  <c r="J120" i="1"/>
  <c r="G135" i="1" l="1"/>
  <c r="M133" i="1"/>
  <c r="J116" i="1"/>
  <c r="I24" i="1" l="1"/>
  <c r="H118" i="1"/>
  <c r="H133" i="1" s="1"/>
  <c r="H103" i="1"/>
  <c r="I114" i="1"/>
  <c r="U92" i="1" s="1"/>
  <c r="S92" i="1" s="1"/>
  <c r="I112" i="1"/>
  <c r="U90" i="1" s="1"/>
  <c r="T90" i="1" s="1"/>
  <c r="I110" i="1"/>
  <c r="U88" i="1" s="1"/>
  <c r="S88" i="1" s="1"/>
  <c r="I108" i="1"/>
  <c r="U86" i="1" s="1"/>
  <c r="T86" i="1" s="1"/>
  <c r="I106" i="1"/>
  <c r="U84" i="1" s="1"/>
  <c r="S84" i="1" s="1"/>
  <c r="I100" i="1"/>
  <c r="U81" i="1" s="1"/>
  <c r="S81" i="1" s="1"/>
  <c r="I98" i="1"/>
  <c r="U79" i="1" s="1"/>
  <c r="S79" i="1" s="1"/>
  <c r="I96" i="1"/>
  <c r="U77" i="1" s="1"/>
  <c r="S77" i="1" s="1"/>
  <c r="I93" i="1"/>
  <c r="U74" i="1" s="1"/>
  <c r="S74" i="1" s="1"/>
  <c r="I91" i="1"/>
  <c r="U72" i="1" s="1"/>
  <c r="T72" i="1" s="1"/>
  <c r="I90" i="1"/>
  <c r="U71" i="1" s="1"/>
  <c r="S71" i="1" s="1"/>
  <c r="I86" i="1"/>
  <c r="U70" i="1" s="1"/>
  <c r="S70" i="1" s="1"/>
  <c r="I84" i="1"/>
  <c r="U68" i="1" s="1"/>
  <c r="T68" i="1" s="1"/>
  <c r="I82" i="1"/>
  <c r="U66" i="1" s="1"/>
  <c r="S66" i="1" s="1"/>
  <c r="I79" i="1"/>
  <c r="U63" i="1" s="1"/>
  <c r="T63" i="1" s="1"/>
  <c r="I77" i="1"/>
  <c r="U61" i="1" s="1"/>
  <c r="T61" i="1" s="1"/>
  <c r="I75" i="1"/>
  <c r="U59" i="1" s="1"/>
  <c r="S59" i="1" s="1"/>
  <c r="I70" i="1"/>
  <c r="U57" i="1" s="1"/>
  <c r="S57" i="1" s="1"/>
  <c r="I69" i="1"/>
  <c r="U56" i="1" s="1"/>
  <c r="S56" i="1" s="1"/>
  <c r="I67" i="1"/>
  <c r="U54" i="1" s="1"/>
  <c r="T54" i="1" s="1"/>
  <c r="I66" i="1"/>
  <c r="I65" i="1"/>
  <c r="I64" i="1"/>
  <c r="U51" i="1" s="1"/>
  <c r="T51" i="1" s="1"/>
  <c r="I63" i="1"/>
  <c r="U50" i="1" s="1"/>
  <c r="T50" i="1" s="1"/>
  <c r="I62" i="1"/>
  <c r="U49" i="1" s="1"/>
  <c r="S49" i="1" s="1"/>
  <c r="I60" i="1"/>
  <c r="I55" i="1"/>
  <c r="I53" i="1"/>
  <c r="U43" i="1" s="1"/>
  <c r="S43" i="1" s="1"/>
  <c r="I51" i="1"/>
  <c r="I49" i="1"/>
  <c r="I47" i="1"/>
  <c r="I45" i="1"/>
  <c r="U35" i="1" s="1"/>
  <c r="T35" i="1" s="1"/>
  <c r="I40" i="1"/>
  <c r="I38" i="1"/>
  <c r="I37" i="1"/>
  <c r="I36" i="1"/>
  <c r="I34" i="1"/>
  <c r="I32" i="1"/>
  <c r="I30" i="1"/>
  <c r="U23" i="1" s="1"/>
  <c r="T23" i="1" s="1"/>
  <c r="I25" i="1"/>
  <c r="U21" i="1" s="1"/>
  <c r="S21" i="1" s="1"/>
  <c r="I22" i="1"/>
  <c r="I20" i="1"/>
  <c r="I19" i="1"/>
  <c r="I18" i="1"/>
  <c r="I17" i="1"/>
  <c r="I10" i="1"/>
  <c r="U9" i="1" s="1"/>
  <c r="S9" i="1" s="1"/>
  <c r="I9" i="1"/>
  <c r="U8" i="1" s="1"/>
  <c r="S8" i="1" s="1"/>
  <c r="I8" i="1"/>
  <c r="U7" i="1" s="1"/>
  <c r="S7" i="1" s="1"/>
  <c r="I5" i="1"/>
  <c r="U4" i="1" s="1"/>
  <c r="I6" i="1"/>
  <c r="I16" i="1"/>
  <c r="I11" i="1"/>
  <c r="U10" i="1" s="1"/>
  <c r="S10" i="1" s="1"/>
  <c r="I7" i="1"/>
  <c r="J202" i="1"/>
  <c r="B8" i="1" s="1"/>
  <c r="I56" i="1"/>
  <c r="I54" i="1"/>
  <c r="U44" i="1" s="1"/>
  <c r="S44" i="1" s="1"/>
  <c r="I52" i="1"/>
  <c r="U42" i="1" s="1"/>
  <c r="S42" i="1" s="1"/>
  <c r="I50" i="1"/>
  <c r="U40" i="1" s="1"/>
  <c r="S40" i="1" s="1"/>
  <c r="I48" i="1"/>
  <c r="I46" i="1"/>
  <c r="U36" i="1" s="1"/>
  <c r="S36" i="1" s="1"/>
  <c r="I61" i="1"/>
  <c r="I41" i="1"/>
  <c r="U34" i="1" s="1"/>
  <c r="S34" i="1" s="1"/>
  <c r="I39" i="1"/>
  <c r="I35" i="1"/>
  <c r="U28" i="1" s="1"/>
  <c r="T28" i="1" s="1"/>
  <c r="I33" i="1"/>
  <c r="I31" i="1"/>
  <c r="I26" i="1"/>
  <c r="I23" i="1"/>
  <c r="I21" i="1"/>
  <c r="I15" i="1"/>
  <c r="U11" i="1" s="1"/>
  <c r="S11" i="1" s="1"/>
  <c r="Q4" i="1" l="1"/>
  <c r="S4" i="1"/>
  <c r="J61" i="1"/>
  <c r="U48" i="1"/>
  <c r="S48" i="1" s="1"/>
  <c r="J18" i="1"/>
  <c r="U14" i="1"/>
  <c r="T14" i="1" s="1"/>
  <c r="J48" i="1"/>
  <c r="U38" i="1"/>
  <c r="S38" i="1" s="1"/>
  <c r="J37" i="1"/>
  <c r="U30" i="1"/>
  <c r="T30" i="1" s="1"/>
  <c r="J55" i="1"/>
  <c r="U45" i="1"/>
  <c r="S45" i="1" s="1"/>
  <c r="J31" i="1"/>
  <c r="U24" i="1"/>
  <c r="S24" i="1" s="1"/>
  <c r="J66" i="1"/>
  <c r="U53" i="1"/>
  <c r="S53" i="1" s="1"/>
  <c r="J6" i="1"/>
  <c r="U5" i="1"/>
  <c r="J20" i="1"/>
  <c r="U16" i="1"/>
  <c r="S16" i="1" s="1"/>
  <c r="J38" i="1"/>
  <c r="U31" i="1"/>
  <c r="S31" i="1" s="1"/>
  <c r="J60" i="1"/>
  <c r="U47" i="1"/>
  <c r="S47" i="1" s="1"/>
  <c r="J40" i="1"/>
  <c r="U33" i="1"/>
  <c r="T33" i="1" s="1"/>
  <c r="J34" i="1"/>
  <c r="U27" i="1"/>
  <c r="S27" i="1" s="1"/>
  <c r="J36" i="1"/>
  <c r="U29" i="1"/>
  <c r="S29" i="1" s="1"/>
  <c r="J19" i="1"/>
  <c r="U15" i="1"/>
  <c r="T15" i="1" s="1"/>
  <c r="J22" i="1"/>
  <c r="U18" i="1"/>
  <c r="T18" i="1" s="1"/>
  <c r="J21" i="1"/>
  <c r="U17" i="1"/>
  <c r="S17" i="1" s="1"/>
  <c r="J7" i="1"/>
  <c r="U6" i="1"/>
  <c r="T6" i="1" s="1"/>
  <c r="J51" i="1"/>
  <c r="U41" i="1"/>
  <c r="T41" i="1" s="1"/>
  <c r="J56" i="1"/>
  <c r="U46" i="1"/>
  <c r="S46" i="1" s="1"/>
  <c r="J47" i="1"/>
  <c r="U37" i="1"/>
  <c r="T37" i="1" s="1"/>
  <c r="J17" i="1"/>
  <c r="U13" i="1"/>
  <c r="S13" i="1" s="1"/>
  <c r="J33" i="1"/>
  <c r="U26" i="1"/>
  <c r="S26" i="1" s="1"/>
  <c r="J16" i="1"/>
  <c r="U12" i="1"/>
  <c r="S12" i="1" s="1"/>
  <c r="J39" i="1"/>
  <c r="U32" i="1"/>
  <c r="S32" i="1" s="1"/>
  <c r="J23" i="1"/>
  <c r="U19" i="1"/>
  <c r="T19" i="1" s="1"/>
  <c r="J26" i="1"/>
  <c r="U22" i="1"/>
  <c r="T22" i="1" s="1"/>
  <c r="J32" i="1"/>
  <c r="U25" i="1"/>
  <c r="T25" i="1" s="1"/>
  <c r="J49" i="1"/>
  <c r="U39" i="1"/>
  <c r="S39" i="1" s="1"/>
  <c r="J65" i="1"/>
  <c r="U52" i="1"/>
  <c r="S52" i="1" s="1"/>
  <c r="J24" i="1"/>
  <c r="U20" i="1"/>
  <c r="T20" i="1" s="1"/>
  <c r="E46" i="1"/>
  <c r="L46" i="1" s="1"/>
  <c r="E31" i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61" i="1"/>
  <c r="E62" i="1" s="1"/>
  <c r="E63" i="1" s="1"/>
  <c r="E64" i="1" s="1"/>
  <c r="E65" i="1" s="1"/>
  <c r="E66" i="1" s="1"/>
  <c r="E67" i="1" s="1"/>
  <c r="E68" i="1" s="1"/>
  <c r="I13" i="1"/>
  <c r="G15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L5" i="1"/>
  <c r="L30" i="1"/>
  <c r="I43" i="1"/>
  <c r="J30" i="1"/>
  <c r="L60" i="1"/>
  <c r="I58" i="1"/>
  <c r="J5" i="1"/>
  <c r="K5" i="1"/>
  <c r="I28" i="1"/>
  <c r="K45" i="1"/>
  <c r="L15" i="1"/>
  <c r="J9" i="1"/>
  <c r="J50" i="1"/>
  <c r="J8" i="1"/>
  <c r="J10" i="1"/>
  <c r="E6" i="1"/>
  <c r="L6" i="1" s="1"/>
  <c r="J11" i="1"/>
  <c r="J41" i="1"/>
  <c r="J52" i="1"/>
  <c r="K30" i="1"/>
  <c r="K60" i="1"/>
  <c r="L61" i="1" s="1"/>
  <c r="K15" i="1"/>
  <c r="J15" i="1"/>
  <c r="J45" i="1"/>
  <c r="J53" i="1"/>
  <c r="L45" i="1"/>
  <c r="J35" i="1"/>
  <c r="J46" i="1"/>
  <c r="J54" i="1"/>
  <c r="Q5" i="1" l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T5" i="1"/>
  <c r="K46" i="1"/>
  <c r="L31" i="1"/>
  <c r="K31" i="1"/>
  <c r="K32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K61" i="1"/>
  <c r="L16" i="1"/>
  <c r="K16" i="1"/>
  <c r="L28" i="1"/>
  <c r="G30" i="1"/>
  <c r="L32" i="1"/>
  <c r="K41" i="1"/>
  <c r="L58" i="1"/>
  <c r="G60" i="1"/>
  <c r="M58" i="1"/>
  <c r="M28" i="1"/>
  <c r="L13" i="1"/>
  <c r="M13" i="1"/>
  <c r="L43" i="1"/>
  <c r="M43" i="1"/>
  <c r="K17" i="1"/>
  <c r="E7" i="1"/>
  <c r="K6" i="1"/>
  <c r="L17" i="1"/>
  <c r="L47" i="1" l="1"/>
  <c r="K47" i="1"/>
  <c r="K36" i="1"/>
  <c r="L34" i="1"/>
  <c r="L33" i="1"/>
  <c r="K33" i="1"/>
  <c r="L38" i="1"/>
  <c r="L35" i="1"/>
  <c r="L39" i="1"/>
  <c r="K35" i="1"/>
  <c r="K34" i="1"/>
  <c r="L37" i="1"/>
  <c r="K39" i="1"/>
  <c r="L41" i="1"/>
  <c r="K40" i="1"/>
  <c r="L36" i="1"/>
  <c r="L40" i="1"/>
  <c r="K38" i="1"/>
  <c r="K37" i="1"/>
  <c r="K48" i="1"/>
  <c r="L48" i="1"/>
  <c r="K18" i="1"/>
  <c r="L18" i="1"/>
  <c r="E8" i="1"/>
  <c r="K8" i="1" s="1"/>
  <c r="K7" i="1"/>
  <c r="L7" i="1"/>
  <c r="E9" i="1" l="1"/>
  <c r="L8" i="1"/>
  <c r="K19" i="1"/>
  <c r="L19" i="1"/>
  <c r="K49" i="1"/>
  <c r="L49" i="1"/>
  <c r="K50" i="1" l="1"/>
  <c r="L50" i="1"/>
  <c r="K20" i="1"/>
  <c r="L20" i="1"/>
  <c r="E10" i="1"/>
  <c r="K9" i="1"/>
  <c r="L9" i="1"/>
  <c r="E11" i="1" l="1"/>
  <c r="K10" i="1"/>
  <c r="L10" i="1"/>
  <c r="K21" i="1"/>
  <c r="L21" i="1"/>
  <c r="K51" i="1"/>
  <c r="L51" i="1"/>
  <c r="K11" i="1" l="1"/>
  <c r="L11" i="1"/>
  <c r="K52" i="1"/>
  <c r="L52" i="1"/>
  <c r="L22" i="1"/>
  <c r="K22" i="1"/>
  <c r="K23" i="1" l="1"/>
  <c r="L23" i="1"/>
  <c r="K53" i="1"/>
  <c r="L53" i="1"/>
  <c r="K54" i="1" l="1"/>
  <c r="L54" i="1"/>
  <c r="K24" i="1"/>
  <c r="L24" i="1"/>
  <c r="K25" i="1" l="1"/>
  <c r="L25" i="1"/>
  <c r="K55" i="1"/>
  <c r="L55" i="1"/>
  <c r="K56" i="1" l="1"/>
  <c r="L56" i="1"/>
  <c r="K26" i="1"/>
  <c r="L26" i="1"/>
  <c r="I68" i="1" l="1"/>
  <c r="B3" i="1"/>
  <c r="B7" i="1" s="1"/>
  <c r="K105" i="1"/>
  <c r="E76" i="1"/>
  <c r="K90" i="1"/>
  <c r="K91" i="1" s="1"/>
  <c r="E120" i="1"/>
  <c r="E135" i="1" s="1"/>
  <c r="I115" i="1"/>
  <c r="J114" i="1"/>
  <c r="I113" i="1"/>
  <c r="J112" i="1"/>
  <c r="I111" i="1"/>
  <c r="J110" i="1"/>
  <c r="I109" i="1"/>
  <c r="J108" i="1"/>
  <c r="I107" i="1"/>
  <c r="I105" i="1"/>
  <c r="I101" i="1"/>
  <c r="J98" i="1"/>
  <c r="I97" i="1"/>
  <c r="J96" i="1"/>
  <c r="I95" i="1"/>
  <c r="I94" i="1"/>
  <c r="J93" i="1"/>
  <c r="I92" i="1"/>
  <c r="J91" i="1"/>
  <c r="L90" i="1"/>
  <c r="I85" i="1"/>
  <c r="U69" i="1" s="1"/>
  <c r="S69" i="1" s="1"/>
  <c r="I83" i="1"/>
  <c r="U67" i="1" s="1"/>
  <c r="T67" i="1" s="1"/>
  <c r="I81" i="1"/>
  <c r="U65" i="1" s="1"/>
  <c r="S65" i="1" s="1"/>
  <c r="I80" i="1"/>
  <c r="U64" i="1" s="1"/>
  <c r="S64" i="1" s="1"/>
  <c r="I78" i="1"/>
  <c r="U62" i="1" s="1"/>
  <c r="S62" i="1" s="1"/>
  <c r="I76" i="1"/>
  <c r="I71" i="1"/>
  <c r="J70" i="1"/>
  <c r="J67" i="1"/>
  <c r="J64" i="1"/>
  <c r="J63" i="1"/>
  <c r="E150" i="1" l="1"/>
  <c r="J68" i="1"/>
  <c r="J69" i="1" s="1"/>
  <c r="L148" i="1"/>
  <c r="I200" i="1"/>
  <c r="L135" i="1"/>
  <c r="K135" i="1"/>
  <c r="J92" i="1"/>
  <c r="U73" i="1"/>
  <c r="S73" i="1" s="1"/>
  <c r="J107" i="1"/>
  <c r="U85" i="1"/>
  <c r="S85" i="1" s="1"/>
  <c r="L105" i="1"/>
  <c r="U83" i="1"/>
  <c r="S83" i="1" s="1"/>
  <c r="J115" i="1"/>
  <c r="U93" i="1"/>
  <c r="S93" i="1" s="1"/>
  <c r="J94" i="1"/>
  <c r="U75" i="1"/>
  <c r="S75" i="1" s="1"/>
  <c r="J111" i="1"/>
  <c r="U89" i="1"/>
  <c r="S89" i="1" s="1"/>
  <c r="J109" i="1"/>
  <c r="U87" i="1"/>
  <c r="T87" i="1" s="1"/>
  <c r="J76" i="1"/>
  <c r="U60" i="1"/>
  <c r="S60" i="1" s="1"/>
  <c r="J95" i="1"/>
  <c r="U76" i="1"/>
  <c r="S76" i="1" s="1"/>
  <c r="J97" i="1"/>
  <c r="U78" i="1"/>
  <c r="T78" i="1" s="1"/>
  <c r="J71" i="1"/>
  <c r="U58" i="1"/>
  <c r="S58" i="1" s="1"/>
  <c r="J101" i="1"/>
  <c r="U82" i="1"/>
  <c r="T82" i="1" s="1"/>
  <c r="J113" i="1"/>
  <c r="U91" i="1"/>
  <c r="T91" i="1" s="1"/>
  <c r="E69" i="1"/>
  <c r="E70" i="1" s="1"/>
  <c r="E71" i="1" s="1"/>
  <c r="U55" i="1"/>
  <c r="L120" i="1"/>
  <c r="K120" i="1"/>
  <c r="E121" i="1" s="1"/>
  <c r="L133" i="1"/>
  <c r="E77" i="1"/>
  <c r="E78" i="1" s="1"/>
  <c r="E79" i="1" s="1"/>
  <c r="E80" i="1" s="1"/>
  <c r="E81" i="1" s="1"/>
  <c r="E82" i="1" s="1"/>
  <c r="E83" i="1" s="1"/>
  <c r="E84" i="1" s="1"/>
  <c r="E85" i="1" s="1"/>
  <c r="K92" i="1"/>
  <c r="K93" i="1" s="1"/>
  <c r="K94" i="1" s="1"/>
  <c r="K95" i="1" s="1"/>
  <c r="K96" i="1" s="1"/>
  <c r="K97" i="1" s="1"/>
  <c r="K98" i="1" s="1"/>
  <c r="E106" i="1"/>
  <c r="K106" i="1"/>
  <c r="K107" i="1" s="1"/>
  <c r="K108" i="1" s="1"/>
  <c r="K109" i="1" s="1"/>
  <c r="K110" i="1" s="1"/>
  <c r="K111" i="1" s="1"/>
  <c r="K112" i="1" s="1"/>
  <c r="K113" i="1" s="1"/>
  <c r="K114" i="1" s="1"/>
  <c r="K115" i="1" s="1"/>
  <c r="L106" i="1"/>
  <c r="L75" i="1"/>
  <c r="I88" i="1"/>
  <c r="M88" i="1" s="1"/>
  <c r="L62" i="1"/>
  <c r="I73" i="1"/>
  <c r="M73" i="1" s="1"/>
  <c r="L92" i="1"/>
  <c r="E91" i="1"/>
  <c r="B5" i="1"/>
  <c r="J86" i="1"/>
  <c r="J90" i="1"/>
  <c r="J75" i="1"/>
  <c r="J77" i="1"/>
  <c r="J78" i="1"/>
  <c r="J79" i="1"/>
  <c r="J82" i="1"/>
  <c r="J81" i="1"/>
  <c r="J80" i="1"/>
  <c r="J105" i="1"/>
  <c r="J85" i="1"/>
  <c r="J84" i="1"/>
  <c r="J106" i="1"/>
  <c r="J83" i="1"/>
  <c r="J62" i="1"/>
  <c r="K62" i="1"/>
  <c r="K75" i="1"/>
  <c r="K76" i="1" s="1"/>
  <c r="L91" i="1"/>
  <c r="I118" i="1"/>
  <c r="G120" i="1" s="1"/>
  <c r="E165" i="1" l="1"/>
  <c r="E180" i="1" s="1"/>
  <c r="K150" i="1"/>
  <c r="E151" i="1" s="1"/>
  <c r="L150" i="1"/>
  <c r="L163" i="1"/>
  <c r="L136" i="1"/>
  <c r="E136" i="1"/>
  <c r="K136" i="1" s="1"/>
  <c r="Q55" i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T55" i="1"/>
  <c r="L121" i="1"/>
  <c r="K121" i="1"/>
  <c r="E122" i="1" s="1"/>
  <c r="E116" i="1"/>
  <c r="L116" i="1"/>
  <c r="K116" i="1"/>
  <c r="L108" i="1"/>
  <c r="M118" i="1"/>
  <c r="B20" i="1"/>
  <c r="K77" i="1"/>
  <c r="L77" i="1"/>
  <c r="E107" i="1"/>
  <c r="L107" i="1"/>
  <c r="L93" i="1"/>
  <c r="E92" i="1"/>
  <c r="L76" i="1"/>
  <c r="K63" i="1"/>
  <c r="L64" i="1" s="1"/>
  <c r="E108" i="1"/>
  <c r="L63" i="1"/>
  <c r="G90" i="1"/>
  <c r="L88" i="1"/>
  <c r="L73" i="1"/>
  <c r="G75" i="1"/>
  <c r="L118" i="1"/>
  <c r="B21" i="1" s="1"/>
  <c r="L189" i="1" l="1"/>
  <c r="F209" i="1"/>
  <c r="F208" i="1"/>
  <c r="I205" i="1"/>
  <c r="L165" i="1"/>
  <c r="L178" i="1"/>
  <c r="K165" i="1"/>
  <c r="E166" i="1" s="1"/>
  <c r="L151" i="1"/>
  <c r="K151" i="1"/>
  <c r="E152" i="1" s="1"/>
  <c r="E137" i="1"/>
  <c r="K137" i="1" s="1"/>
  <c r="L137" i="1"/>
  <c r="L122" i="1"/>
  <c r="K122" i="1"/>
  <c r="E123" i="1" s="1"/>
  <c r="K78" i="1"/>
  <c r="L78" i="1"/>
  <c r="K64" i="1"/>
  <c r="L65" i="1" s="1"/>
  <c r="E109" i="1"/>
  <c r="L109" i="1"/>
  <c r="E93" i="1"/>
  <c r="L166" i="1" l="1"/>
  <c r="K166" i="1"/>
  <c r="E167" i="1" s="1"/>
  <c r="L152" i="1"/>
  <c r="K152" i="1"/>
  <c r="E153" i="1" s="1"/>
  <c r="L138" i="1"/>
  <c r="E138" i="1"/>
  <c r="K138" i="1" s="1"/>
  <c r="L123" i="1"/>
  <c r="K123" i="1"/>
  <c r="E124" i="1" s="1"/>
  <c r="K79" i="1"/>
  <c r="L79" i="1"/>
  <c r="E94" i="1"/>
  <c r="L94" i="1"/>
  <c r="E110" i="1"/>
  <c r="L110" i="1"/>
  <c r="K65" i="1"/>
  <c r="F264" i="1"/>
  <c r="F265" i="1"/>
  <c r="F268" i="1"/>
  <c r="F273" i="1"/>
  <c r="G273" i="1"/>
  <c r="F283" i="1"/>
  <c r="G283" i="1" s="1"/>
  <c r="G284" i="1" s="1"/>
  <c r="F286" i="1"/>
  <c r="F287" i="1"/>
  <c r="F290" i="1"/>
  <c r="G290" i="1" s="1"/>
  <c r="F295" i="1"/>
  <c r="G295" i="1" s="1"/>
  <c r="G306" i="1"/>
  <c r="L167" i="1" l="1"/>
  <c r="K167" i="1"/>
  <c r="E168" i="1" s="1"/>
  <c r="L153" i="1"/>
  <c r="K153" i="1"/>
  <c r="E154" i="1" s="1"/>
  <c r="L139" i="1"/>
  <c r="E139" i="1"/>
  <c r="K139" i="1" s="1"/>
  <c r="L124" i="1"/>
  <c r="K124" i="1"/>
  <c r="E125" i="1" s="1"/>
  <c r="K80" i="1"/>
  <c r="L80" i="1"/>
  <c r="L111" i="1"/>
  <c r="E111" i="1"/>
  <c r="K66" i="1"/>
  <c r="L67" i="1" s="1"/>
  <c r="L112" i="1"/>
  <c r="E112" i="1"/>
  <c r="L66" i="1"/>
  <c r="F266" i="1"/>
  <c r="G266" i="1" s="1"/>
  <c r="F288" i="1"/>
  <c r="F269" i="1"/>
  <c r="G269" i="1" s="1"/>
  <c r="K168" i="1" l="1"/>
  <c r="E169" i="1" s="1"/>
  <c r="L168" i="1"/>
  <c r="K154" i="1"/>
  <c r="E155" i="1" s="1"/>
  <c r="L154" i="1"/>
  <c r="E140" i="1"/>
  <c r="K140" i="1" s="1"/>
  <c r="L140" i="1"/>
  <c r="K125" i="1"/>
  <c r="E126" i="1" s="1"/>
  <c r="L125" i="1"/>
  <c r="K81" i="1"/>
  <c r="L81" i="1"/>
  <c r="K67" i="1"/>
  <c r="L68" i="1" s="1"/>
  <c r="L169" i="1" l="1"/>
  <c r="K169" i="1"/>
  <c r="E170" i="1" s="1"/>
  <c r="L155" i="1"/>
  <c r="K155" i="1"/>
  <c r="E156" i="1" s="1"/>
  <c r="E141" i="1"/>
  <c r="K141" i="1" s="1"/>
  <c r="L141" i="1"/>
  <c r="K126" i="1"/>
  <c r="E127" i="1" s="1"/>
  <c r="L126" i="1"/>
  <c r="K82" i="1"/>
  <c r="L82" i="1"/>
  <c r="K68" i="1"/>
  <c r="L69" i="1" s="1"/>
  <c r="H293" i="1"/>
  <c r="L289" i="1" s="1"/>
  <c r="H288" i="1"/>
  <c r="L284" i="1" s="1"/>
  <c r="K170" i="1" l="1"/>
  <c r="E171" i="1" s="1"/>
  <c r="L170" i="1"/>
  <c r="K156" i="1"/>
  <c r="E157" i="1" s="1"/>
  <c r="L156" i="1"/>
  <c r="L142" i="1"/>
  <c r="E142" i="1"/>
  <c r="K142" i="1" s="1"/>
  <c r="L290" i="1"/>
  <c r="L127" i="1"/>
  <c r="K127" i="1"/>
  <c r="E128" i="1" s="1"/>
  <c r="K83" i="1"/>
  <c r="L83" i="1"/>
  <c r="K69" i="1"/>
  <c r="L70" i="1" s="1"/>
  <c r="L171" i="1" l="1"/>
  <c r="K171" i="1"/>
  <c r="E172" i="1" s="1"/>
  <c r="L157" i="1"/>
  <c r="K157" i="1"/>
  <c r="E158" i="1" s="1"/>
  <c r="E143" i="1"/>
  <c r="K143" i="1" s="1"/>
  <c r="L143" i="1"/>
  <c r="K128" i="1"/>
  <c r="E129" i="1" s="1"/>
  <c r="L128" i="1"/>
  <c r="K84" i="1"/>
  <c r="L84" i="1"/>
  <c r="K70" i="1"/>
  <c r="L71" i="1" s="1"/>
  <c r="L172" i="1" l="1"/>
  <c r="K172" i="1"/>
  <c r="E173" i="1" s="1"/>
  <c r="L158" i="1"/>
  <c r="K158" i="1"/>
  <c r="E159" i="1" s="1"/>
  <c r="E144" i="1"/>
  <c r="K144" i="1" s="1"/>
  <c r="L144" i="1"/>
  <c r="L129" i="1"/>
  <c r="K129" i="1"/>
  <c r="E130" i="1" s="1"/>
  <c r="K85" i="1"/>
  <c r="L85" i="1"/>
  <c r="K71" i="1"/>
  <c r="K173" i="1" l="1"/>
  <c r="E174" i="1" s="1"/>
  <c r="L173" i="1"/>
  <c r="K159" i="1"/>
  <c r="E160" i="1" s="1"/>
  <c r="L159" i="1"/>
  <c r="L145" i="1"/>
  <c r="E145" i="1"/>
  <c r="K145" i="1" s="1"/>
  <c r="K130" i="1"/>
  <c r="E131" i="1" s="1"/>
  <c r="L130" i="1"/>
  <c r="E86" i="1"/>
  <c r="K86" i="1"/>
  <c r="L86" i="1"/>
  <c r="H271" i="1"/>
  <c r="J100" i="1" s="1"/>
  <c r="K174" i="1" l="1"/>
  <c r="E175" i="1" s="1"/>
  <c r="L174" i="1"/>
  <c r="L160" i="1"/>
  <c r="K160" i="1"/>
  <c r="E161" i="1" s="1"/>
  <c r="L146" i="1"/>
  <c r="E146" i="1"/>
  <c r="K146" i="1" s="1"/>
  <c r="G150" i="1" s="1"/>
  <c r="L131" i="1"/>
  <c r="K131" i="1"/>
  <c r="H264" i="1"/>
  <c r="H267" i="1"/>
  <c r="L175" i="1" l="1"/>
  <c r="K175" i="1"/>
  <c r="E176" i="1" s="1"/>
  <c r="L161" i="1"/>
  <c r="K161" i="1"/>
  <c r="G165" i="1" s="1"/>
  <c r="I99" i="1"/>
  <c r="U80" i="1" s="1"/>
  <c r="B9" i="1"/>
  <c r="K176" i="1" l="1"/>
  <c r="L176" i="1"/>
  <c r="Q80" i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T80" i="1"/>
  <c r="J99" i="1"/>
  <c r="K99" i="1"/>
  <c r="K100" i="1" s="1"/>
  <c r="K101" i="1" s="1"/>
  <c r="I103" i="1"/>
  <c r="E113" i="1"/>
  <c r="L180" i="1" l="1"/>
  <c r="K180" i="1"/>
  <c r="E181" i="1" s="1"/>
  <c r="Q104" i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B2" i="1"/>
  <c r="M103" i="1"/>
  <c r="L103" i="1"/>
  <c r="G105" i="1"/>
  <c r="L181" i="1" l="1"/>
  <c r="K181" i="1"/>
  <c r="E182" i="1" s="1"/>
  <c r="M191" i="1"/>
  <c r="I202" i="1" s="1"/>
  <c r="Q115" i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E114" i="1"/>
  <c r="L113" i="1"/>
  <c r="G93" i="1"/>
  <c r="G94" i="1" s="1"/>
  <c r="G95" i="1" s="1"/>
  <c r="G96" i="1" s="1"/>
  <c r="G97" i="1" s="1"/>
  <c r="G98" i="1" s="1"/>
  <c r="G99" i="1" s="1"/>
  <c r="G100" i="1" s="1"/>
  <c r="F93" i="1"/>
  <c r="F94" i="1" s="1"/>
  <c r="F95" i="1" s="1"/>
  <c r="F96" i="1" s="1"/>
  <c r="F97" i="1" s="1"/>
  <c r="F98" i="1" s="1"/>
  <c r="F99" i="1" s="1"/>
  <c r="F100" i="1" s="1"/>
  <c r="L182" i="1" l="1"/>
  <c r="K182" i="1"/>
  <c r="E183" i="1" s="1"/>
  <c r="I203" i="1"/>
  <c r="I204" i="1" s="1"/>
  <c r="B15" i="1"/>
  <c r="B16" i="1" s="1"/>
  <c r="E115" i="1"/>
  <c r="L114" i="1"/>
  <c r="F101" i="1"/>
  <c r="F107" i="1" s="1"/>
  <c r="F109" i="1" s="1"/>
  <c r="F112" i="1" s="1"/>
  <c r="F106" i="1"/>
  <c r="F108" i="1" s="1"/>
  <c r="G101" i="1"/>
  <c r="G107" i="1" s="1"/>
  <c r="G108" i="1" s="1"/>
  <c r="G109" i="1" s="1"/>
  <c r="G106" i="1"/>
  <c r="L183" i="1" l="1"/>
  <c r="K183" i="1"/>
  <c r="E184" i="1" s="1"/>
  <c r="I206" i="1"/>
  <c r="K212" i="1"/>
  <c r="K213" i="1" s="1"/>
  <c r="K215" i="1" s="1"/>
  <c r="L115" i="1"/>
  <c r="G110" i="1"/>
  <c r="G112" i="1" s="1"/>
  <c r="G111" i="1"/>
  <c r="F110" i="1"/>
  <c r="F111" i="1"/>
  <c r="L184" i="1" l="1"/>
  <c r="K184" i="1"/>
  <c r="E185" i="1" s="1"/>
  <c r="B17" i="1"/>
  <c r="B18" i="1" s="1"/>
  <c r="B6" i="1"/>
  <c r="L185" i="1" l="1"/>
  <c r="K185" i="1"/>
  <c r="E186" i="1" s="1"/>
  <c r="L95" i="1"/>
  <c r="E95" i="1"/>
  <c r="E96" i="1" s="1"/>
  <c r="L186" i="1" l="1"/>
  <c r="K186" i="1"/>
  <c r="L96" i="1"/>
  <c r="L97" i="1"/>
  <c r="L98" i="1" l="1"/>
  <c r="E97" i="1"/>
  <c r="L99" i="1" l="1"/>
  <c r="E98" i="1"/>
  <c r="L100" i="1" l="1"/>
  <c r="E99" i="1"/>
  <c r="L101" i="1" l="1"/>
  <c r="E100" i="1"/>
  <c r="E101" i="1" l="1"/>
</calcChain>
</file>

<file path=xl/sharedStrings.xml><?xml version="1.0" encoding="utf-8"?>
<sst xmlns="http://schemas.openxmlformats.org/spreadsheetml/2006/main" count="218" uniqueCount="113">
  <si>
    <t>Period</t>
  </si>
  <si>
    <t>Beginning</t>
  </si>
  <si>
    <t>With-</t>
  </si>
  <si>
    <t>Net</t>
  </si>
  <si>
    <t>Ending</t>
  </si>
  <si>
    <t>Rate of</t>
  </si>
  <si>
    <t>Equity</t>
  </si>
  <si>
    <t>Additions</t>
  </si>
  <si>
    <t>drawals</t>
  </si>
  <si>
    <t>Performance</t>
  </si>
  <si>
    <t>Return</t>
  </si>
  <si>
    <t>-----------</t>
  </si>
  <si>
    <t>--------</t>
  </si>
  <si>
    <t>total</t>
  </si>
  <si>
    <t>Months</t>
  </si>
  <si>
    <t>APPM</t>
  </si>
  <si>
    <t>APPY</t>
  </si>
  <si>
    <t>Draw</t>
  </si>
  <si>
    <t>RR</t>
  </si>
  <si>
    <t>%APPY</t>
  </si>
  <si>
    <t>price</t>
  </si>
  <si>
    <t>date</t>
  </si>
  <si>
    <t>value</t>
  </si>
  <si>
    <t>net</t>
  </si>
  <si>
    <t>9/29 Set</t>
  </si>
  <si>
    <t>8/31 Set</t>
  </si>
  <si>
    <t>X2</t>
  </si>
  <si>
    <t>10/31</t>
  </si>
  <si>
    <t>long 2</t>
  </si>
  <si>
    <t>11/30 set</t>
  </si>
  <si>
    <t>profitable</t>
  </si>
  <si>
    <t>losing</t>
  </si>
  <si>
    <t>commissions</t>
  </si>
  <si>
    <t>out dec</t>
  </si>
  <si>
    <t>December</t>
  </si>
  <si>
    <t xml:space="preserve">Hedges </t>
  </si>
  <si>
    <t>Hedge roll</t>
  </si>
  <si>
    <t>March L3</t>
  </si>
  <si>
    <t>4 300</t>
  </si>
  <si>
    <t>12/1/17 L3</t>
  </si>
  <si>
    <t>12/29/17</t>
  </si>
  <si>
    <t xml:space="preserve">Settle </t>
  </si>
  <si>
    <t>18-Jan</t>
  </si>
  <si>
    <t>1/31/set</t>
  </si>
  <si>
    <t>com</t>
  </si>
  <si>
    <t>Long 3</t>
  </si>
  <si>
    <t>Reverse to 1</t>
  </si>
  <si>
    <t>Point loss</t>
  </si>
  <si>
    <t>dollar loss</t>
  </si>
  <si>
    <t>commission</t>
  </si>
  <si>
    <t>Delivered</t>
  </si>
  <si>
    <t>2/5  S 1</t>
  </si>
  <si>
    <t>out to N</t>
  </si>
  <si>
    <t>18-Feb</t>
  </si>
  <si>
    <t>3/1/2018 s</t>
  </si>
  <si>
    <t>hedge</t>
  </si>
  <si>
    <t>s</t>
  </si>
  <si>
    <t>settle</t>
  </si>
  <si>
    <t>3/30 s</t>
  </si>
  <si>
    <t>18-Mar</t>
  </si>
  <si>
    <t>18-Apr</t>
  </si>
  <si>
    <t>4/30 s4</t>
  </si>
  <si>
    <t>18-May</t>
  </si>
  <si>
    <t>18-Jun</t>
  </si>
  <si>
    <t>18-Jul</t>
  </si>
  <si>
    <t>18-Aug</t>
  </si>
  <si>
    <t>18-Sep</t>
  </si>
  <si>
    <t>18-Oct</t>
  </si>
  <si>
    <t>18-Nov</t>
  </si>
  <si>
    <t>years</t>
  </si>
  <si>
    <t>Start</t>
  </si>
  <si>
    <t>adjust</t>
  </si>
  <si>
    <t>base dd</t>
  </si>
  <si>
    <t>% Draw</t>
  </si>
  <si>
    <t>18-Dec</t>
  </si>
  <si>
    <t>Avg Monthly</t>
  </si>
  <si>
    <t>Avg Yearly</t>
  </si>
  <si>
    <t>Avg %</t>
  </si>
  <si>
    <t>Start Balance</t>
  </si>
  <si>
    <t>19-Jan</t>
  </si>
  <si>
    <t>19-Feb</t>
  </si>
  <si>
    <t>19-Mar</t>
  </si>
  <si>
    <t>19-Apr</t>
  </si>
  <si>
    <t>19-May</t>
  </si>
  <si>
    <t>19-Jun</t>
  </si>
  <si>
    <t xml:space="preserve">19-Jul </t>
  </si>
  <si>
    <t>per month</t>
  </si>
  <si>
    <t>per year</t>
  </si>
  <si>
    <t>intial</t>
  </si>
  <si>
    <t xml:space="preserve">annual </t>
  </si>
  <si>
    <t>t</t>
  </si>
  <si>
    <t>Monthly</t>
  </si>
  <si>
    <t>Winning Months</t>
  </si>
  <si>
    <t>Losing Months</t>
  </si>
  <si>
    <t>Cumulative Net Profit Trading One Unit</t>
  </si>
  <si>
    <t>19-Aug</t>
  </si>
  <si>
    <t>19-Sep</t>
  </si>
  <si>
    <t>19-Oct</t>
  </si>
  <si>
    <t>19-Nov</t>
  </si>
  <si>
    <t xml:space="preserve">SP Analysis </t>
  </si>
  <si>
    <t>19-Dec</t>
  </si>
  <si>
    <t>20-Jan</t>
  </si>
  <si>
    <t>Total</t>
  </si>
  <si>
    <t>3 month chart</t>
  </si>
  <si>
    <t>WebPage</t>
  </si>
  <si>
    <t>20-Feb</t>
  </si>
  <si>
    <t>Percent</t>
  </si>
  <si>
    <t>This Month</t>
  </si>
  <si>
    <t>Value</t>
  </si>
  <si>
    <t>Last 12</t>
  </si>
  <si>
    <t>22--Mar</t>
  </si>
  <si>
    <t>Best</t>
  </si>
  <si>
    <t>Worst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</si>
</sst>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.00_);[Red]\(&quot;$&quot;#,##0.00\)"/>
    <numFmt numFmtId="165" formatCode="0.0000_);[Red]\(0.0000\)"/>
    <numFmt numFmtId="166" formatCode="&quot;$&quot;#,##0.00;[Red]&quot;$&quot;#,##0.00"/>
    <numFmt numFmtId="167" formatCode="0.000%"/>
    <numFmt numFmtId="168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0033CC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800000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9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indent="1"/>
    </xf>
    <xf numFmtId="165" fontId="18" fillId="0" borderId="0" xfId="0" applyNumberFormat="1" applyFont="1" applyAlignment="1">
      <alignment horizontal="left" indent="1"/>
    </xf>
    <xf numFmtId="2" fontId="18" fillId="0" borderId="0" xfId="0" applyNumberFormat="1" applyFont="1" applyAlignment="1">
      <alignment horizontal="left" indent="1"/>
    </xf>
    <xf numFmtId="164" fontId="18" fillId="0" borderId="0" xfId="0" applyNumberFormat="1" applyFont="1" applyAlignment="1">
      <alignment horizontal="left" indent="1"/>
    </xf>
    <xf numFmtId="2" fontId="18" fillId="0" borderId="0" xfId="0" applyNumberFormat="1" applyFont="1" applyAlignment="1">
      <alignment horizontal="left" wrapText="1" indent="1"/>
    </xf>
    <xf numFmtId="0" fontId="19" fillId="0" borderId="0" xfId="0" applyFont="1" applyAlignment="1">
      <alignment horizontal="left" indent="1"/>
    </xf>
    <xf numFmtId="164" fontId="19" fillId="0" borderId="0" xfId="0" applyNumberFormat="1" applyFont="1" applyAlignment="1">
      <alignment horizontal="left" indent="1"/>
    </xf>
    <xf numFmtId="2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left" indent="1"/>
    </xf>
    <xf numFmtId="0" fontId="20" fillId="33" borderId="0" xfId="0" applyFont="1" applyFill="1" applyAlignment="1">
      <alignment horizontal="left" indent="1"/>
    </xf>
    <xf numFmtId="0" fontId="21" fillId="0" borderId="0" xfId="0" applyFont="1" applyAlignment="1">
      <alignment horizontal="left" indent="1"/>
    </xf>
    <xf numFmtId="16" fontId="21" fillId="0" borderId="0" xfId="0" applyNumberFormat="1" applyFont="1" applyAlignment="1">
      <alignment horizontal="left" indent="1"/>
    </xf>
    <xf numFmtId="164" fontId="21" fillId="0" borderId="0" xfId="0" applyNumberFormat="1" applyFont="1" applyAlignment="1">
      <alignment horizontal="left" indent="1"/>
    </xf>
    <xf numFmtId="164" fontId="22" fillId="0" borderId="0" xfId="0" applyNumberFormat="1" applyFont="1" applyAlignment="1">
      <alignment horizontal="left" indent="1"/>
    </xf>
    <xf numFmtId="0" fontId="22" fillId="0" borderId="0" xfId="0" applyFont="1" applyAlignment="1">
      <alignment horizontal="left" indent="1"/>
    </xf>
    <xf numFmtId="49" fontId="21" fillId="0" borderId="0" xfId="0" applyNumberFormat="1" applyFont="1" applyAlignment="1">
      <alignment horizontal="left" indent="1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6" fontId="18" fillId="0" borderId="0" xfId="0" applyNumberFormat="1" applyFont="1" applyAlignment="1">
      <alignment horizontal="left" inden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left" indent="1"/>
    </xf>
    <xf numFmtId="10" fontId="0" fillId="0" borderId="0" xfId="0" applyNumberFormat="1" applyAlignment="1">
      <alignment horizontal="left" indent="1"/>
    </xf>
    <xf numFmtId="166" fontId="22" fillId="0" borderId="0" xfId="0" applyNumberFormat="1" applyFont="1" applyAlignment="1">
      <alignment horizontal="left" indent="1"/>
    </xf>
    <xf numFmtId="0" fontId="23" fillId="0" borderId="0" xfId="0" applyFont="1"/>
    <xf numFmtId="4" fontId="23" fillId="0" borderId="0" xfId="0" applyNumberFormat="1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4" fillId="0" borderId="0" xfId="0" applyNumberFormat="1" applyFont="1" applyAlignment="1">
      <alignment horizontal="left" indent="1"/>
    </xf>
    <xf numFmtId="0" fontId="26" fillId="0" borderId="0" xfId="0" applyFont="1" applyAlignment="1">
      <alignment horizontal="center"/>
    </xf>
    <xf numFmtId="10" fontId="27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left" indent="1"/>
    </xf>
    <xf numFmtId="165" fontId="24" fillId="0" borderId="0" xfId="0" applyNumberFormat="1" applyFont="1" applyAlignment="1">
      <alignment horizontal="left" indent="1"/>
    </xf>
    <xf numFmtId="2" fontId="24" fillId="0" borderId="0" xfId="0" applyNumberFormat="1" applyFont="1" applyAlignment="1">
      <alignment horizontal="left" indent="1"/>
    </xf>
    <xf numFmtId="16" fontId="24" fillId="0" borderId="0" xfId="0" applyNumberFormat="1" applyFont="1" applyAlignment="1">
      <alignment horizontal="left" indent="1"/>
    </xf>
    <xf numFmtId="10" fontId="21" fillId="0" borderId="0" xfId="0" applyNumberFormat="1" applyFont="1" applyAlignment="1">
      <alignment horizontal="left" indent="1"/>
    </xf>
    <xf numFmtId="167" fontId="21" fillId="0" borderId="0" xfId="0" applyNumberFormat="1" applyFont="1" applyAlignment="1">
      <alignment horizontal="left" indent="1"/>
    </xf>
    <xf numFmtId="10" fontId="22" fillId="0" borderId="0" xfId="0" applyNumberFormat="1" applyFont="1" applyAlignment="1">
      <alignment horizontal="left" indent="1"/>
    </xf>
    <xf numFmtId="10" fontId="19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164" fontId="29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left" indent="1"/>
    </xf>
    <xf numFmtId="164" fontId="28" fillId="0" borderId="0" xfId="0" applyNumberFormat="1" applyFont="1" applyAlignment="1">
      <alignment horizontal="left" indent="1"/>
    </xf>
    <xf numFmtId="165" fontId="28" fillId="0" borderId="0" xfId="0" applyNumberFormat="1" applyFont="1" applyAlignment="1">
      <alignment horizontal="left" indent="1"/>
    </xf>
    <xf numFmtId="2" fontId="28" fillId="0" borderId="0" xfId="0" applyNumberFormat="1" applyFont="1" applyAlignment="1">
      <alignment horizontal="left" indent="1"/>
    </xf>
    <xf numFmtId="16" fontId="28" fillId="0" borderId="0" xfId="0" applyNumberFormat="1" applyFont="1" applyAlignment="1">
      <alignment horizontal="left" indent="1"/>
    </xf>
    <xf numFmtId="164" fontId="0" fillId="0" borderId="0" xfId="0" applyNumberFormat="1" applyAlignment="1">
      <alignment horizontal="left" indent="1"/>
    </xf>
    <xf numFmtId="10" fontId="31" fillId="0" borderId="0" xfId="0" applyNumberFormat="1" applyFont="1" applyAlignment="1">
      <alignment horizontal="left" indent="1"/>
    </xf>
    <xf numFmtId="166" fontId="18" fillId="0" borderId="0" xfId="0" applyNumberFormat="1" applyFont="1" applyAlignment="1">
      <alignment horizontal="left" indent="1"/>
    </xf>
    <xf numFmtId="10" fontId="19" fillId="0" borderId="0" xfId="0" applyNumberFormat="1" applyFont="1"/>
    <xf numFmtId="168" fontId="0" fillId="0" borderId="0" xfId="0" applyNumberFormat="1" applyAlignment="1">
      <alignment horizontal="center"/>
    </xf>
    <xf numFmtId="168" fontId="16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left" indent="1"/>
    </xf>
    <xf numFmtId="2" fontId="19" fillId="0" borderId="0" xfId="0" applyNumberFormat="1" applyFont="1" applyAlignment="1">
      <alignment horizontal="left" indent="1"/>
    </xf>
    <xf numFmtId="2" fontId="25" fillId="0" borderId="0" xfId="0" applyNumberFormat="1" applyFont="1" applyAlignment="1">
      <alignment horizontal="left" indent="1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33" fillId="0" borderId="0" xfId="42" applyNumberFormat="1" applyFont="1" applyAlignment="1">
      <alignment horizontal="left" indent="1"/>
    </xf>
    <xf numFmtId="4" fontId="0" fillId="0" borderId="0" xfId="0" applyNumberFormat="1" applyAlignment="1">
      <alignment horizontal="center"/>
    </xf>
    <xf numFmtId="0" fontId="34" fillId="0" borderId="0" xfId="42" applyFont="1"/>
    <xf numFmtId="164" fontId="34" fillId="0" borderId="0" xfId="42" applyNumberFormat="1" applyFont="1" applyAlignment="1">
      <alignment horizontal="left" indent="1"/>
    </xf>
    <xf numFmtId="8" fontId="35" fillId="0" borderId="0" xfId="0" applyNumberFormat="1" applyFont="1" applyAlignment="1">
      <alignment horizontal="left"/>
    </xf>
    <xf numFmtId="10" fontId="0" fillId="34" borderId="0" xfId="0" applyNumberFormat="1" applyFill="1" applyAlignment="1">
      <alignment horizontal="center"/>
    </xf>
    <xf numFmtId="168" fontId="0" fillId="34" borderId="0" xfId="0" applyNumberFormat="1" applyFill="1" applyAlignment="1">
      <alignment horizontal="center"/>
    </xf>
    <xf numFmtId="2" fontId="21" fillId="0" borderId="0" xfId="0" applyNumberFormat="1" applyFont="1" applyAlignment="1">
      <alignment horizontal="left" inden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6" fontId="16" fillId="0" borderId="0" xfId="0" applyNumberFormat="1" applyFont="1" applyAlignment="1">
      <alignment horizontal="center"/>
    </xf>
    <xf numFmtId="16" fontId="0" fillId="0" borderId="0" xfId="0" applyNumberFormat="1" applyAlignment="1">
      <alignment horizontal="left"/>
    </xf>
    <xf numFmtId="164" fontId="19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6" fontId="0" fillId="0" borderId="0" xfId="0" applyNumberFormat="1"/>
    <xf numFmtId="10" fontId="18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20" fillId="33" borderId="0" xfId="0" applyFont="1" applyFill="1" applyAlignment="1">
      <alignment horizontal="left" vertical="center" inden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57783115548698E-2"/>
          <c:y val="6.7530673358444607E-2"/>
          <c:w val="0.87165827742773094"/>
          <c:h val="0.790492390772779"/>
        </c:manualLayout>
      </c:layout>
      <c:areaChart>
        <c:grouping val="standard"/>
        <c:varyColors val="0"/>
        <c:ser>
          <c:idx val="0"/>
          <c:order val="0"/>
          <c:tx>
            <c:strRef>
              <c:f>STATEMEN!$Q$2</c:f>
              <c:strCache>
                <c:ptCount val="1"/>
                <c:pt idx="0">
                  <c:v>Cumulative Net Profit Trading One Unit</c:v>
                </c:pt>
              </c:strCache>
            </c:strRef>
          </c:tx>
          <c:spPr>
            <a:solidFill>
              <a:srgbClr val="002060">
                <a:alpha val="25000"/>
              </a:srgbClr>
            </a:solidFill>
            <a:ln w="25400" cmpd="dbl">
              <a:solidFill>
                <a:schemeClr val="tx1"/>
              </a:solidFill>
            </a:ln>
            <a:effectLst/>
          </c:spPr>
          <c:cat>
            <c:strRef>
              <c:f>STATEMEN!$P$3:$P$150</c:f>
              <c:strCache>
                <c:ptCount val="148"/>
                <c:pt idx="1">
                  <c:v>11-Jun</c:v>
                </c:pt>
                <c:pt idx="2">
                  <c:v>11-Jul</c:v>
                </c:pt>
                <c:pt idx="3">
                  <c:v>11-Aug</c:v>
                </c:pt>
                <c:pt idx="4">
                  <c:v>11-Sep</c:v>
                </c:pt>
                <c:pt idx="5">
                  <c:v>11-Oct</c:v>
                </c:pt>
                <c:pt idx="6">
                  <c:v>11-Nov</c:v>
                </c:pt>
                <c:pt idx="7">
                  <c:v>11-Dec</c:v>
                </c:pt>
                <c:pt idx="8">
                  <c:v>12-Jan</c:v>
                </c:pt>
                <c:pt idx="9">
                  <c:v>12-Feb</c:v>
                </c:pt>
                <c:pt idx="10">
                  <c:v>12-Mar</c:v>
                </c:pt>
                <c:pt idx="11">
                  <c:v>12-Apr</c:v>
                </c:pt>
                <c:pt idx="12">
                  <c:v>12-May</c:v>
                </c:pt>
                <c:pt idx="13">
                  <c:v>12-Jun</c:v>
                </c:pt>
                <c:pt idx="14">
                  <c:v>12-Jul</c:v>
                </c:pt>
                <c:pt idx="15">
                  <c:v>12-Aug</c:v>
                </c:pt>
                <c:pt idx="16">
                  <c:v>12-Sep</c:v>
                </c:pt>
                <c:pt idx="17">
                  <c:v>12-Oct</c:v>
                </c:pt>
                <c:pt idx="18">
                  <c:v>12-Nov</c:v>
                </c:pt>
                <c:pt idx="19">
                  <c:v>12-Dec</c:v>
                </c:pt>
                <c:pt idx="20">
                  <c:v>13-Jan</c:v>
                </c:pt>
                <c:pt idx="21">
                  <c:v>13-Feb</c:v>
                </c:pt>
                <c:pt idx="22">
                  <c:v>13-Mar</c:v>
                </c:pt>
                <c:pt idx="23">
                  <c:v>13-Apr</c:v>
                </c:pt>
                <c:pt idx="24">
                  <c:v>13-May</c:v>
                </c:pt>
                <c:pt idx="25">
                  <c:v>13-Jun</c:v>
                </c:pt>
                <c:pt idx="26">
                  <c:v>13-Jul</c:v>
                </c:pt>
                <c:pt idx="27">
                  <c:v>13-Aug</c:v>
                </c:pt>
                <c:pt idx="28">
                  <c:v>13-Sep</c:v>
                </c:pt>
                <c:pt idx="29">
                  <c:v>13-Oct</c:v>
                </c:pt>
                <c:pt idx="30">
                  <c:v>13-Nov</c:v>
                </c:pt>
                <c:pt idx="31">
                  <c:v>13-Dec</c:v>
                </c:pt>
                <c:pt idx="32">
                  <c:v>14-Jan</c:v>
                </c:pt>
                <c:pt idx="33">
                  <c:v>14-Feb</c:v>
                </c:pt>
                <c:pt idx="34">
                  <c:v>14-Mar</c:v>
                </c:pt>
                <c:pt idx="35">
                  <c:v>14-Apr</c:v>
                </c:pt>
                <c:pt idx="36">
                  <c:v>14-May</c:v>
                </c:pt>
                <c:pt idx="37">
                  <c:v>14-Jun</c:v>
                </c:pt>
                <c:pt idx="38">
                  <c:v>14-Jul</c:v>
                </c:pt>
                <c:pt idx="39">
                  <c:v>14-Aug</c:v>
                </c:pt>
                <c:pt idx="40">
                  <c:v>14-Sep</c:v>
                </c:pt>
                <c:pt idx="41">
                  <c:v>14-Oct</c:v>
                </c:pt>
                <c:pt idx="42">
                  <c:v>14-Nov</c:v>
                </c:pt>
                <c:pt idx="43">
                  <c:v>14-Dec</c:v>
                </c:pt>
                <c:pt idx="44">
                  <c:v>15-Jan</c:v>
                </c:pt>
                <c:pt idx="45">
                  <c:v>15-Feb</c:v>
                </c:pt>
                <c:pt idx="46">
                  <c:v>15-Mar</c:v>
                </c:pt>
                <c:pt idx="47">
                  <c:v>15-Apr</c:v>
                </c:pt>
                <c:pt idx="48">
                  <c:v>15-May</c:v>
                </c:pt>
                <c:pt idx="49">
                  <c:v>15-Jun</c:v>
                </c:pt>
                <c:pt idx="50">
                  <c:v>15-Jul</c:v>
                </c:pt>
                <c:pt idx="51">
                  <c:v>15-Aug</c:v>
                </c:pt>
                <c:pt idx="52">
                  <c:v>15-Sep</c:v>
                </c:pt>
                <c:pt idx="53">
                  <c:v>15-Oct</c:v>
                </c:pt>
                <c:pt idx="54">
                  <c:v>15-Nov</c:v>
                </c:pt>
                <c:pt idx="55">
                  <c:v>15-Dec</c:v>
                </c:pt>
                <c:pt idx="56">
                  <c:v>16-Jan</c:v>
                </c:pt>
                <c:pt idx="57">
                  <c:v>16-Feb</c:v>
                </c:pt>
                <c:pt idx="58">
                  <c:v>16-Mar</c:v>
                </c:pt>
                <c:pt idx="59">
                  <c:v>16-Apr</c:v>
                </c:pt>
                <c:pt idx="60">
                  <c:v>16-May</c:v>
                </c:pt>
                <c:pt idx="61">
                  <c:v>16-Jun</c:v>
                </c:pt>
                <c:pt idx="62">
                  <c:v>16-Jul</c:v>
                </c:pt>
                <c:pt idx="63">
                  <c:v>16-Aug</c:v>
                </c:pt>
                <c:pt idx="64">
                  <c:v>16-Sep</c:v>
                </c:pt>
                <c:pt idx="65">
                  <c:v>16-Oct</c:v>
                </c:pt>
                <c:pt idx="66">
                  <c:v>16-Nov</c:v>
                </c:pt>
                <c:pt idx="67">
                  <c:v>16-Dec</c:v>
                </c:pt>
                <c:pt idx="68">
                  <c:v>17-Jan</c:v>
                </c:pt>
                <c:pt idx="69">
                  <c:v>17-Feb</c:v>
                </c:pt>
                <c:pt idx="70">
                  <c:v>17-Mar</c:v>
                </c:pt>
                <c:pt idx="71">
                  <c:v>17-Apr</c:v>
                </c:pt>
                <c:pt idx="72">
                  <c:v>17-May</c:v>
                </c:pt>
                <c:pt idx="73">
                  <c:v>17-Jun</c:v>
                </c:pt>
                <c:pt idx="74">
                  <c:v>17-Jul</c:v>
                </c:pt>
                <c:pt idx="75">
                  <c:v>17-Aug</c:v>
                </c:pt>
                <c:pt idx="76">
                  <c:v>17-Sep</c:v>
                </c:pt>
                <c:pt idx="77">
                  <c:v>17-Oct</c:v>
                </c:pt>
                <c:pt idx="78">
                  <c:v>17-Nov</c:v>
                </c:pt>
                <c:pt idx="79">
                  <c:v>17-Dec</c:v>
                </c:pt>
                <c:pt idx="80">
                  <c:v>18-Jan</c:v>
                </c:pt>
                <c:pt idx="81">
                  <c:v>18-Feb</c:v>
                </c:pt>
                <c:pt idx="82">
                  <c:v>18-Mar</c:v>
                </c:pt>
                <c:pt idx="83">
                  <c:v>18-Apr</c:v>
                </c:pt>
                <c:pt idx="84">
                  <c:v>18-May</c:v>
                </c:pt>
                <c:pt idx="85">
                  <c:v>18-Jun</c:v>
                </c:pt>
                <c:pt idx="86">
                  <c:v>18-Jul</c:v>
                </c:pt>
                <c:pt idx="87">
                  <c:v>18-Aug</c:v>
                </c:pt>
                <c:pt idx="88">
                  <c:v>18-Sep</c:v>
                </c:pt>
                <c:pt idx="89">
                  <c:v>18-Oct</c:v>
                </c:pt>
                <c:pt idx="90">
                  <c:v>18-Nov</c:v>
                </c:pt>
                <c:pt idx="91">
                  <c:v>18-Dec</c:v>
                </c:pt>
                <c:pt idx="92">
                  <c:v>19-Jan</c:v>
                </c:pt>
                <c:pt idx="93">
                  <c:v>19-Feb</c:v>
                </c:pt>
                <c:pt idx="94">
                  <c:v>19-Mar</c:v>
                </c:pt>
                <c:pt idx="95">
                  <c:v>19-Apr</c:v>
                </c:pt>
                <c:pt idx="96">
                  <c:v>19-May</c:v>
                </c:pt>
                <c:pt idx="97">
                  <c:v>19-Jun</c:v>
                </c:pt>
                <c:pt idx="98">
                  <c:v>19-Jul </c:v>
                </c:pt>
                <c:pt idx="99">
                  <c:v>19-Aug</c:v>
                </c:pt>
                <c:pt idx="100">
                  <c:v>19-Sep</c:v>
                </c:pt>
                <c:pt idx="101">
                  <c:v>19-Oct</c:v>
                </c:pt>
                <c:pt idx="102">
                  <c:v>19-Nov</c:v>
                </c:pt>
                <c:pt idx="103">
                  <c:v>19-Dec</c:v>
                </c:pt>
                <c:pt idx="104">
                  <c:v>20-Jan</c:v>
                </c:pt>
                <c:pt idx="105">
                  <c:v>20-Feb</c:v>
                </c:pt>
                <c:pt idx="106">
                  <c:v>20-Mar</c:v>
                </c:pt>
                <c:pt idx="107">
                  <c:v>20-Apr</c:v>
                </c:pt>
                <c:pt idx="108">
                  <c:v>20-May</c:v>
                </c:pt>
                <c:pt idx="109">
                  <c:v>20-Jun</c:v>
                </c:pt>
                <c:pt idx="110">
                  <c:v>20-Jul</c:v>
                </c:pt>
                <c:pt idx="111">
                  <c:v>20-Aug</c:v>
                </c:pt>
                <c:pt idx="112">
                  <c:v>20-Sep</c:v>
                </c:pt>
                <c:pt idx="113">
                  <c:v>20-Oct</c:v>
                </c:pt>
                <c:pt idx="114">
                  <c:v>20-Nov</c:v>
                </c:pt>
                <c:pt idx="115">
                  <c:v>20-Dec</c:v>
                </c:pt>
                <c:pt idx="116">
                  <c:v>21-Jan</c:v>
                </c:pt>
                <c:pt idx="117">
                  <c:v>21-Feb</c:v>
                </c:pt>
                <c:pt idx="118">
                  <c:v>21-Mar</c:v>
                </c:pt>
                <c:pt idx="119">
                  <c:v>21-Apr</c:v>
                </c:pt>
                <c:pt idx="120">
                  <c:v>21-May</c:v>
                </c:pt>
                <c:pt idx="121">
                  <c:v>21-Jun</c:v>
                </c:pt>
                <c:pt idx="122">
                  <c:v>21-Jul</c:v>
                </c:pt>
                <c:pt idx="123">
                  <c:v>21-Aug</c:v>
                </c:pt>
                <c:pt idx="124">
                  <c:v>21-Sep</c:v>
                </c:pt>
                <c:pt idx="125">
                  <c:v>21-Oct</c:v>
                </c:pt>
                <c:pt idx="126">
                  <c:v>21-Nov</c:v>
                </c:pt>
                <c:pt idx="127">
                  <c:v>21-Dec</c:v>
                </c:pt>
                <c:pt idx="128">
                  <c:v>22-Jan</c:v>
                </c:pt>
                <c:pt idx="129">
                  <c:v>22-Feb</c:v>
                </c:pt>
                <c:pt idx="130">
                  <c:v>22--Mar</c:v>
                </c:pt>
                <c:pt idx="131">
                  <c:v>22-Apr</c:v>
                </c:pt>
                <c:pt idx="132">
                  <c:v>22-May</c:v>
                </c:pt>
                <c:pt idx="133">
                  <c:v>22-Jun</c:v>
                </c:pt>
                <c:pt idx="134">
                  <c:v>22-Jul</c:v>
                </c:pt>
                <c:pt idx="135">
                  <c:v>22-Aug</c:v>
                </c:pt>
                <c:pt idx="136">
                  <c:v>22-Sep</c:v>
                </c:pt>
                <c:pt idx="137">
                  <c:v>22-Oct</c:v>
                </c:pt>
                <c:pt idx="138">
                  <c:v>22-Nov</c:v>
                </c:pt>
                <c:pt idx="139">
                  <c:v>22-Dec</c:v>
                </c:pt>
                <c:pt idx="140">
                  <c:v>23-Jan</c:v>
                </c:pt>
                <c:pt idx="141">
                  <c:v>23-Feb</c:v>
                </c:pt>
                <c:pt idx="142">
                  <c:v>23-Mar</c:v>
                </c:pt>
                <c:pt idx="143">
                  <c:v>23-Apr</c:v>
                </c:pt>
                <c:pt idx="144">
                  <c:v>23-May</c:v>
                </c:pt>
                <c:pt idx="145">
                  <c:v>23-Jun</c:v>
                </c:pt>
                <c:pt idx="146">
                  <c:v>23-Jul</c:v>
                </c:pt>
                <c:pt idx="147">
                  <c:v>23-Aug</c:v>
                </c:pt>
              </c:strCache>
            </c:strRef>
          </c:cat>
          <c:val>
            <c:numRef>
              <c:f>STATEMEN!$Q$3:$Q$150</c:f>
              <c:numCache>
                <c:formatCode>"$"#,##0.00_);[Red]\("$"#,##0.00\)</c:formatCode>
                <c:ptCount val="148"/>
                <c:pt idx="1">
                  <c:v>4631.25</c:v>
                </c:pt>
                <c:pt idx="2" formatCode="&quot;$&quot;#,##0.00;[Red]&quot;$&quot;#,##0.00">
                  <c:v>2781.25</c:v>
                </c:pt>
                <c:pt idx="3" formatCode="&quot;$&quot;#,##0.00;[Red]&quot;$&quot;#,##0.00">
                  <c:v>-5112.5</c:v>
                </c:pt>
                <c:pt idx="4" formatCode="&quot;$&quot;#,##0.00;[Red]&quot;$&quot;#,##0.00">
                  <c:v>-1825</c:v>
                </c:pt>
                <c:pt idx="5" formatCode="&quot;$&quot;#,##0.00;[Red]&quot;$&quot;#,##0.00">
                  <c:v>11618.75</c:v>
                </c:pt>
                <c:pt idx="6" formatCode="&quot;$&quot;#,##0.00;[Red]&quot;$&quot;#,##0.00">
                  <c:v>17756.25</c:v>
                </c:pt>
                <c:pt idx="7" formatCode="&quot;$&quot;#,##0.00;[Red]&quot;$&quot;#,##0.00">
                  <c:v>23325</c:v>
                </c:pt>
                <c:pt idx="8" formatCode="&quot;$&quot;#,##0.00;[Red]&quot;$&quot;#,##0.00">
                  <c:v>27550</c:v>
                </c:pt>
                <c:pt idx="9" formatCode="&quot;$&quot;#,##0.00;[Red]&quot;$&quot;#,##0.00">
                  <c:v>31187.5</c:v>
                </c:pt>
                <c:pt idx="10" formatCode="&quot;$&quot;#,##0.00;[Red]&quot;$&quot;#,##0.00">
                  <c:v>37112.5</c:v>
                </c:pt>
                <c:pt idx="11" formatCode="&quot;$&quot;#,##0.00;[Red]&quot;$&quot;#,##0.00">
                  <c:v>34037.5</c:v>
                </c:pt>
                <c:pt idx="12" formatCode="&quot;$&quot;#,##0.00;[Red]&quot;$&quot;#,##0.00">
                  <c:v>29362.5</c:v>
                </c:pt>
                <c:pt idx="13" formatCode="&quot;$&quot;#,##0.00;[Red]&quot;$&quot;#,##0.00">
                  <c:v>35287.5</c:v>
                </c:pt>
                <c:pt idx="14" formatCode="&quot;$&quot;#,##0.00;[Red]&quot;$&quot;#,##0.00">
                  <c:v>40837.5</c:v>
                </c:pt>
                <c:pt idx="15" formatCode="&quot;$&quot;#,##0.00;[Red]&quot;$&quot;#,##0.00">
                  <c:v>36787.5</c:v>
                </c:pt>
                <c:pt idx="16" formatCode="&quot;$&quot;#,##0.00;[Red]&quot;$&quot;#,##0.00">
                  <c:v>30425</c:v>
                </c:pt>
                <c:pt idx="17" formatCode="&quot;$&quot;#,##0.00;[Red]&quot;$&quot;#,##0.00">
                  <c:v>30012.5</c:v>
                </c:pt>
                <c:pt idx="18" formatCode="&quot;$&quot;#,##0.00;[Red]&quot;$&quot;#,##0.00">
                  <c:v>35675</c:v>
                </c:pt>
                <c:pt idx="19" formatCode="&quot;$&quot;#,##0.00;[Red]&quot;$&quot;#,##0.00">
                  <c:v>34687.5</c:v>
                </c:pt>
                <c:pt idx="20" formatCode="&quot;$&quot;#,##0.00;[Red]&quot;$&quot;#,##0.00">
                  <c:v>31556.25</c:v>
                </c:pt>
                <c:pt idx="21" formatCode="&quot;$&quot;#,##0.00;[Red]&quot;$&quot;#,##0.00">
                  <c:v>33043.75</c:v>
                </c:pt>
                <c:pt idx="22" formatCode="&quot;$&quot;#,##0.00;[Red]&quot;$&quot;#,##0.00">
                  <c:v>27828.25</c:v>
                </c:pt>
                <c:pt idx="23" formatCode="&quot;$&quot;#,##0.00;[Red]&quot;$&quot;#,##0.00">
                  <c:v>35628.25</c:v>
                </c:pt>
                <c:pt idx="24" formatCode="&quot;$&quot;#,##0.00;[Red]&quot;$&quot;#,##0.00">
                  <c:v>43728.25</c:v>
                </c:pt>
                <c:pt idx="25" formatCode="&quot;$&quot;#,##0.00;[Red]&quot;$&quot;#,##0.00">
                  <c:v>40178.25</c:v>
                </c:pt>
                <c:pt idx="26" formatCode="&quot;$&quot;#,##0.00;[Red]&quot;$&quot;#,##0.00">
                  <c:v>44865.75</c:v>
                </c:pt>
                <c:pt idx="27" formatCode="&quot;$&quot;#,##0.00;[Red]&quot;$&quot;#,##0.00">
                  <c:v>42153.25</c:v>
                </c:pt>
                <c:pt idx="28" formatCode="&quot;$&quot;#,##0.00;[Red]&quot;$&quot;#,##0.00">
                  <c:v>46765.75</c:v>
                </c:pt>
                <c:pt idx="29" formatCode="&quot;$&quot;#,##0.00;[Red]&quot;$&quot;#,##0.00">
                  <c:v>50003.25</c:v>
                </c:pt>
                <c:pt idx="30" formatCode="&quot;$&quot;#,##0.00;[Red]&quot;$&quot;#,##0.00">
                  <c:v>44940.75</c:v>
                </c:pt>
                <c:pt idx="31" formatCode="&quot;$&quot;#,##0.00;[Red]&quot;$&quot;#,##0.00">
                  <c:v>47790.75</c:v>
                </c:pt>
                <c:pt idx="32" formatCode="&quot;$&quot;#,##0.00;[Red]&quot;$&quot;#,##0.00">
                  <c:v>45240.75</c:v>
                </c:pt>
                <c:pt idx="33" formatCode="&quot;$&quot;#,##0.00;[Red]&quot;$&quot;#,##0.00">
                  <c:v>58528.25</c:v>
                </c:pt>
                <c:pt idx="34" formatCode="&quot;$&quot;#,##0.00;[Red]&quot;$&quot;#,##0.00">
                  <c:v>58472</c:v>
                </c:pt>
                <c:pt idx="35" formatCode="&quot;$&quot;#,##0.00;[Red]&quot;$&quot;#,##0.00">
                  <c:v>66297</c:v>
                </c:pt>
                <c:pt idx="36" formatCode="&quot;$&quot;#,##0.00;[Red]&quot;$&quot;#,##0.00">
                  <c:v>72372</c:v>
                </c:pt>
                <c:pt idx="37" formatCode="&quot;$&quot;#,##0.00;[Red]&quot;$&quot;#,##0.00">
                  <c:v>72397</c:v>
                </c:pt>
                <c:pt idx="38" formatCode="&quot;$&quot;#,##0.00;[Red]&quot;$&quot;#,##0.00">
                  <c:v>71028.25</c:v>
                </c:pt>
                <c:pt idx="39" formatCode="&quot;$&quot;#,##0.00;[Red]&quot;$&quot;#,##0.00">
                  <c:v>75403.25</c:v>
                </c:pt>
                <c:pt idx="40" formatCode="&quot;$&quot;#,##0.00;[Red]&quot;$&quot;#,##0.00">
                  <c:v>82453.25</c:v>
                </c:pt>
                <c:pt idx="41" formatCode="&quot;$&quot;#,##0.00;[Red]&quot;$&quot;#,##0.00">
                  <c:v>84965.75</c:v>
                </c:pt>
                <c:pt idx="42" formatCode="&quot;$&quot;#,##0.00;[Red]&quot;$&quot;#,##0.00">
                  <c:v>88865.75</c:v>
                </c:pt>
                <c:pt idx="43" formatCode="&quot;$&quot;#,##0.00;[Red]&quot;$&quot;#,##0.00">
                  <c:v>91740.75</c:v>
                </c:pt>
                <c:pt idx="44" formatCode="&quot;$&quot;#,##0.00;[Red]&quot;$&quot;#,##0.00">
                  <c:v>106890.75</c:v>
                </c:pt>
                <c:pt idx="45" formatCode="&quot;$&quot;#,##0.00;[Red]&quot;$&quot;#,##0.00">
                  <c:v>115803.25</c:v>
                </c:pt>
                <c:pt idx="46" formatCode="&quot;$&quot;#,##0.00;[Red]&quot;$&quot;#,##0.00">
                  <c:v>125647</c:v>
                </c:pt>
                <c:pt idx="47" formatCode="&quot;$&quot;#,##0.00;[Red]&quot;$&quot;#,##0.00">
                  <c:v>118690.75</c:v>
                </c:pt>
                <c:pt idx="48" formatCode="&quot;$&quot;#,##0.00;[Red]&quot;$&quot;#,##0.00">
                  <c:v>113572</c:v>
                </c:pt>
                <c:pt idx="49" formatCode="&quot;$&quot;#,##0.00;[Red]&quot;$&quot;#,##0.00">
                  <c:v>120078.25</c:v>
                </c:pt>
                <c:pt idx="50" formatCode="&quot;$&quot;#,##0.00;[Red]&quot;$&quot;#,##0.00">
                  <c:v>124728.25</c:v>
                </c:pt>
                <c:pt idx="51" formatCode="&quot;$&quot;#,##0.00;[Red]&quot;$&quot;#,##0.00">
                  <c:v>120097</c:v>
                </c:pt>
                <c:pt idx="52" formatCode="&quot;$&quot;#,##0.00;[Red]&quot;$&quot;#,##0.00">
                  <c:v>118334.5</c:v>
                </c:pt>
                <c:pt idx="53" formatCode="&quot;$&quot;#,##0.00;[Red]&quot;$&quot;#,##0.00">
                  <c:v>137834.5</c:v>
                </c:pt>
                <c:pt idx="54" formatCode="&quot;$&quot;#,##0.00;[Red]&quot;$&quot;#,##0.00">
                  <c:v>148747</c:v>
                </c:pt>
                <c:pt idx="55" formatCode="&quot;$&quot;#,##0.00;[Red]&quot;$&quot;#,##0.00">
                  <c:v>148847</c:v>
                </c:pt>
                <c:pt idx="56" formatCode="&quot;$&quot;#,##0.00;[Red]&quot;$&quot;#,##0.00">
                  <c:v>149522</c:v>
                </c:pt>
                <c:pt idx="57" formatCode="&quot;$&quot;#,##0.00;[Red]&quot;$&quot;#,##0.00">
                  <c:v>165534.5</c:v>
                </c:pt>
                <c:pt idx="58" formatCode="&quot;$&quot;#,##0.00;[Red]&quot;$&quot;#,##0.00">
                  <c:v>165028.25</c:v>
                </c:pt>
                <c:pt idx="59" formatCode="&quot;$&quot;#,##0.00;[Red]&quot;$&quot;#,##0.00">
                  <c:v>168253.25</c:v>
                </c:pt>
                <c:pt idx="60" formatCode="&quot;$&quot;#,##0.00;[Red]&quot;$&quot;#,##0.00">
                  <c:v>162478.25</c:v>
                </c:pt>
                <c:pt idx="61" formatCode="&quot;$&quot;#,##0.00;[Red]&quot;$&quot;#,##0.00">
                  <c:v>168340.75</c:v>
                </c:pt>
                <c:pt idx="62" formatCode="&quot;$&quot;#,##0.00;[Red]&quot;$&quot;#,##0.00">
                  <c:v>172178.25</c:v>
                </c:pt>
                <c:pt idx="63" formatCode="&quot;$&quot;#,##0.00;[Red]&quot;$&quot;#,##0.00">
                  <c:v>179865.75</c:v>
                </c:pt>
                <c:pt idx="64" formatCode="&quot;$&quot;#,##0.00;[Red]&quot;$&quot;#,##0.00">
                  <c:v>178103.25</c:v>
                </c:pt>
                <c:pt idx="65" formatCode="&quot;$&quot;#,##0.00;[Red]&quot;$&quot;#,##0.00">
                  <c:v>175797</c:v>
                </c:pt>
                <c:pt idx="66" formatCode="&quot;$&quot;#,##0.00;[Red]&quot;$&quot;#,##0.00">
                  <c:v>179222</c:v>
                </c:pt>
                <c:pt idx="67" formatCode="&quot;$&quot;#,##0.00;[Red]&quot;$&quot;#,##0.00">
                  <c:v>180422</c:v>
                </c:pt>
                <c:pt idx="68" formatCode="&quot;$&quot;#,##0.00;[Red]&quot;$&quot;#,##0.00">
                  <c:v>184810.25</c:v>
                </c:pt>
                <c:pt idx="69" formatCode="&quot;$&quot;#,##0.00;[Red]&quot;$&quot;#,##0.00">
                  <c:v>180535.25</c:v>
                </c:pt>
                <c:pt idx="70" formatCode="&quot;$&quot;#,##0.00;[Red]&quot;$&quot;#,##0.00">
                  <c:v>183947.75</c:v>
                </c:pt>
                <c:pt idx="71" formatCode="&quot;$&quot;#,##0.00;[Red]&quot;$&quot;#,##0.00">
                  <c:v>191075</c:v>
                </c:pt>
                <c:pt idx="72" formatCode="&quot;$&quot;#,##0.00;[Red]&quot;$&quot;#,##0.00">
                  <c:v>194900.5</c:v>
                </c:pt>
                <c:pt idx="73" formatCode="&quot;$&quot;#,##0.00;[Red]&quot;$&quot;#,##0.00">
                  <c:v>198850.5</c:v>
                </c:pt>
                <c:pt idx="74" formatCode="&quot;$&quot;#,##0.00;[Red]&quot;$&quot;#,##0.00">
                  <c:v>207513</c:v>
                </c:pt>
                <c:pt idx="75" formatCode="&quot;$&quot;#,##0.00;[Red]&quot;$&quot;#,##0.00">
                  <c:v>206363</c:v>
                </c:pt>
                <c:pt idx="76" formatCode="&quot;$&quot;#,##0.00;[Red]&quot;$&quot;#,##0.00">
                  <c:v>211515.5</c:v>
                </c:pt>
                <c:pt idx="77" formatCode="&quot;$&quot;#,##0.00;[Red]&quot;$&quot;#,##0.00">
                  <c:v>209241.5</c:v>
                </c:pt>
                <c:pt idx="78" formatCode="&quot;$&quot;#,##0.00;[Red]&quot;$&quot;#,##0.00">
                  <c:v>216606.5</c:v>
                </c:pt>
                <c:pt idx="79" formatCode="&quot;$&quot;#,##0.00;[Red]&quot;$&quot;#,##0.00">
                  <c:v>213502</c:v>
                </c:pt>
                <c:pt idx="80" formatCode="&quot;$&quot;#,##0.00;[Red]&quot;$&quot;#,##0.00">
                  <c:v>225378.44</c:v>
                </c:pt>
                <c:pt idx="81" formatCode="&quot;$&quot;#,##0.00;[Red]&quot;$&quot;#,##0.00">
                  <c:v>231941.69</c:v>
                </c:pt>
                <c:pt idx="82" formatCode="&quot;$&quot;#,##0.00;[Red]&quot;$&quot;#,##0.00">
                  <c:v>233716.19</c:v>
                </c:pt>
                <c:pt idx="83" formatCode="&quot;$&quot;#,##0.00;[Red]&quot;$&quot;#,##0.00">
                  <c:v>229591.19</c:v>
                </c:pt>
                <c:pt idx="84" formatCode="&quot;$&quot;#,##0.00;[Red]&quot;$&quot;#,##0.00">
                  <c:v>227346.19</c:v>
                </c:pt>
                <c:pt idx="85" formatCode="&quot;$&quot;#,##0.00;[Red]&quot;$&quot;#,##0.00">
                  <c:v>232478.23</c:v>
                </c:pt>
                <c:pt idx="86" formatCode="&quot;$&quot;#,##0.00;[Red]&quot;$&quot;#,##0.00">
                  <c:v>237103.54</c:v>
                </c:pt>
                <c:pt idx="87" formatCode="&quot;$&quot;#,##0.00;[Red]&quot;$&quot;#,##0.00">
                  <c:v>230589.49000000002</c:v>
                </c:pt>
                <c:pt idx="88" formatCode="&quot;$&quot;#,##0.00;[Red]&quot;$&quot;#,##0.00">
                  <c:v>227350.05000000002</c:v>
                </c:pt>
                <c:pt idx="89" formatCode="&quot;$&quot;#,##0.00;[Red]&quot;$&quot;#,##0.00">
                  <c:v>238607.55000000002</c:v>
                </c:pt>
                <c:pt idx="90" formatCode="&quot;$&quot;#,##0.00;[Red]&quot;$&quot;#,##0.00">
                  <c:v>241943.05000000002</c:v>
                </c:pt>
                <c:pt idx="91" formatCode="&quot;$&quot;#,##0.00;[Red]&quot;$&quot;#,##0.00">
                  <c:v>260898.79</c:v>
                </c:pt>
                <c:pt idx="92" formatCode="&quot;$&quot;#,##0.00;[Red]&quot;$&quot;#,##0.00">
                  <c:v>268530.04000000004</c:v>
                </c:pt>
                <c:pt idx="93" formatCode="&quot;$&quot;#,##0.00;[Red]&quot;$&quot;#,##0.00">
                  <c:v>273880.19000000006</c:v>
                </c:pt>
                <c:pt idx="94" formatCode="&quot;$&quot;#,##0.00;[Red]&quot;$&quot;#,##0.00">
                  <c:v>274806.07000000007</c:v>
                </c:pt>
                <c:pt idx="95" formatCode="&quot;$&quot;#,##0.00;[Red]&quot;$&quot;#,##0.00">
                  <c:v>279829.41000000009</c:v>
                </c:pt>
                <c:pt idx="96" formatCode="&quot;$&quot;#,##0.00;[Red]&quot;$&quot;#,##0.00">
                  <c:v>282955.2900000001</c:v>
                </c:pt>
                <c:pt idx="97" formatCode="&quot;$&quot;#,##0.00;[Red]&quot;$&quot;#,##0.00">
                  <c:v>287706.64000000007</c:v>
                </c:pt>
                <c:pt idx="98" formatCode="&quot;$&quot;#,##0.00;[Red]&quot;$&quot;#,##0.00">
                  <c:v>288244.01000000007</c:v>
                </c:pt>
                <c:pt idx="99" formatCode="&quot;$&quot;#,##0.00;[Red]&quot;$&quot;#,##0.00">
                  <c:v>286818.78000000009</c:v>
                </c:pt>
                <c:pt idx="100" formatCode="&quot;$&quot;#,##0.00;[Red]&quot;$&quot;#,##0.00">
                  <c:v>290694.26000000007</c:v>
                </c:pt>
                <c:pt idx="101" formatCode="&quot;$&quot;#,##0.00;[Red]&quot;$&quot;#,##0.00">
                  <c:v>297407.70000000007</c:v>
                </c:pt>
                <c:pt idx="102" formatCode="&quot;$&quot;#,##0.00;[Red]&quot;$&quot;#,##0.00">
                  <c:v>302077.50000000006</c:v>
                </c:pt>
                <c:pt idx="103" formatCode="&quot;$&quot;#,##0.00;[Red]&quot;$&quot;#,##0.00">
                  <c:v>305629.98000000004</c:v>
                </c:pt>
                <c:pt idx="104" formatCode="&quot;$&quot;#,##0.00;[Red]&quot;$&quot;#,##0.00">
                  <c:v>304391.81000000006</c:v>
                </c:pt>
                <c:pt idx="105" formatCode="&quot;$&quot;#,##0.00;[Red]&quot;$&quot;#,##0.00">
                  <c:v>317774.06000000006</c:v>
                </c:pt>
                <c:pt idx="106" formatCode="&quot;$&quot;#,##0.00;[Red]&quot;$&quot;#,##0.00">
                  <c:v>336679.12000000005</c:v>
                </c:pt>
                <c:pt idx="107" formatCode="&quot;$&quot;#,##0.00;[Red]&quot;$&quot;#,##0.00">
                  <c:v>336301.12000000005</c:v>
                </c:pt>
                <c:pt idx="108" formatCode="&quot;$&quot;#,##0.00;[Red]&quot;$&quot;#,##0.00">
                  <c:v>334786.49000000005</c:v>
                </c:pt>
                <c:pt idx="109" formatCode="&quot;$&quot;#,##0.00;[Red]&quot;$&quot;#,##0.00">
                  <c:v>333481.21000000002</c:v>
                </c:pt>
                <c:pt idx="110" formatCode="&quot;$&quot;#,##0.00;[Red]&quot;$&quot;#,##0.00">
                  <c:v>333965.46000000002</c:v>
                </c:pt>
                <c:pt idx="111" formatCode="&quot;$&quot;#,##0.00;[Red]&quot;$&quot;#,##0.00">
                  <c:v>334369.65000000002</c:v>
                </c:pt>
                <c:pt idx="112" formatCode="&quot;$&quot;#,##0.00;[Red]&quot;$&quot;#,##0.00">
                  <c:v>331767.40000000002</c:v>
                </c:pt>
                <c:pt idx="113" formatCode="&quot;$&quot;#,##0.00;[Red]&quot;$&quot;#,##0.00">
                  <c:v>331116.89</c:v>
                </c:pt>
                <c:pt idx="114" formatCode="&quot;$&quot;#,##0.00;[Red]&quot;$&quot;#,##0.00">
                  <c:v>331116.89</c:v>
                </c:pt>
                <c:pt idx="115" formatCode="&quot;$&quot;#,##0.00;[Red]&quot;$&quot;#,##0.00">
                  <c:v>331363.64</c:v>
                </c:pt>
                <c:pt idx="116" formatCode="&quot;$&quot;#,##0.00;[Red]&quot;$&quot;#,##0.00">
                  <c:v>331402.14</c:v>
                </c:pt>
                <c:pt idx="117" formatCode="&quot;$&quot;#,##0.00;[Red]&quot;$&quot;#,##0.00">
                  <c:v>333352.14</c:v>
                </c:pt>
                <c:pt idx="118" formatCode="&quot;$&quot;#,##0.00;[Red]&quot;$&quot;#,##0.00">
                  <c:v>334268.64</c:v>
                </c:pt>
                <c:pt idx="119" formatCode="&quot;$&quot;#,##0.00;[Red]&quot;$&quot;#,##0.00">
                  <c:v>344891.14</c:v>
                </c:pt>
                <c:pt idx="120" formatCode="&quot;$&quot;#,##0.00;[Red]&quot;$&quot;#,##0.00">
                  <c:v>341140.89</c:v>
                </c:pt>
                <c:pt idx="121" formatCode="&quot;$&quot;#,##0.00;[Red]&quot;$&quot;#,##0.00">
                  <c:v>345240.89</c:v>
                </c:pt>
                <c:pt idx="122" formatCode="&quot;$&quot;#,##0.00;[Red]&quot;$&quot;#,##0.00">
                  <c:v>350128.89</c:v>
                </c:pt>
                <c:pt idx="123" formatCode="&quot;$&quot;#,##0.00;[Red]&quot;$&quot;#,##0.00">
                  <c:v>356859.89</c:v>
                </c:pt>
                <c:pt idx="124" formatCode="&quot;$&quot;#,##0.00;[Red]&quot;$&quot;#,##0.00">
                  <c:v>358841.89</c:v>
                </c:pt>
                <c:pt idx="125" formatCode="&quot;$&quot;#,##0.00;[Red]&quot;$&quot;#,##0.00">
                  <c:v>359178.39</c:v>
                </c:pt>
                <c:pt idx="126" formatCode="&quot;$&quot;#,##0.00;[Red]&quot;$&quot;#,##0.00">
                  <c:v>357640.89</c:v>
                </c:pt>
                <c:pt idx="127" formatCode="&quot;$&quot;#,##0.00;[Red]&quot;$&quot;#,##0.00">
                  <c:v>350465.64</c:v>
                </c:pt>
                <c:pt idx="128" formatCode="&quot;$&quot;#,##0.00;[Red]&quot;$&quot;#,##0.00">
                  <c:v>368090.64</c:v>
                </c:pt>
                <c:pt idx="129" formatCode="&quot;$&quot;#,##0.00;[Red]&quot;$&quot;#,##0.00">
                  <c:v>375038.64</c:v>
                </c:pt>
                <c:pt idx="130" formatCode="&quot;$&quot;#,##0.00;[Red]&quot;$&quot;#,##0.00">
                  <c:v>378949.76</c:v>
                </c:pt>
                <c:pt idx="131" formatCode="&quot;$&quot;#,##0.00;[Red]&quot;$&quot;#,##0.00">
                  <c:v>384195.77</c:v>
                </c:pt>
                <c:pt idx="132" formatCode="&quot;$&quot;#,##0.00;[Red]&quot;$&quot;#,##0.00">
                  <c:v>383808.27</c:v>
                </c:pt>
                <c:pt idx="133" formatCode="&quot;$&quot;#,##0.00;[Red]&quot;$&quot;#,##0.00">
                  <c:v>384423.77</c:v>
                </c:pt>
                <c:pt idx="134" formatCode="&quot;$&quot;#,##0.00;[Red]&quot;$&quot;#,##0.00">
                  <c:v>385668.27</c:v>
                </c:pt>
                <c:pt idx="135" formatCode="&quot;$&quot;#,##0.00;[Red]&quot;$&quot;#,##0.00">
                  <c:v>385599.52</c:v>
                </c:pt>
                <c:pt idx="136" formatCode="&quot;$&quot;#,##0.00;[Red]&quot;$&quot;#,##0.00">
                  <c:v>403059.52</c:v>
                </c:pt>
                <c:pt idx="137" formatCode="&quot;$&quot;#,##0.00;[Red]&quot;$&quot;#,##0.00">
                  <c:v>393111.02</c:v>
                </c:pt>
                <c:pt idx="138" formatCode="&quot;$&quot;#,##0.00;[Red]&quot;$&quot;#,##0.00">
                  <c:v>401401.10000000003</c:v>
                </c:pt>
                <c:pt idx="139" formatCode="&quot;$&quot;#,##0.00;[Red]&quot;$&quot;#,##0.00">
                  <c:v>395054.98000000004</c:v>
                </c:pt>
                <c:pt idx="140" formatCode="&quot;$&quot;#,##0.00;[Red]&quot;$&quot;#,##0.00">
                  <c:v>398208.93000000005</c:v>
                </c:pt>
                <c:pt idx="141" formatCode="&quot;$&quot;#,##0.00;[Red]&quot;$&quot;#,##0.00">
                  <c:v>401534.43000000005</c:v>
                </c:pt>
                <c:pt idx="142" formatCode="&quot;$&quot;#,##0.00;[Red]&quot;$&quot;#,##0.00">
                  <c:v>406454.93000000005</c:v>
                </c:pt>
                <c:pt idx="143" formatCode="&quot;$&quot;#,##0.00;[Red]&quot;$&quot;#,##0.00">
                  <c:v>410657.68000000005</c:v>
                </c:pt>
                <c:pt idx="144" formatCode="&quot;$&quot;#,##0.00;[Red]&quot;$&quot;#,##0.00">
                  <c:v>410682.68000000005</c:v>
                </c:pt>
                <c:pt idx="145" formatCode="&quot;$&quot;#,##0.00;[Red]&quot;$&quot;#,##0.00">
                  <c:v>423695.18000000005</c:v>
                </c:pt>
                <c:pt idx="146" formatCode="&quot;$&quot;#,##0.00;[Red]&quot;$&quot;#,##0.00">
                  <c:v>429295.18000000005</c:v>
                </c:pt>
                <c:pt idx="147" formatCode="&quot;$&quot;#,##0.00;[Red]&quot;$&quot;#,##0.00">
                  <c:v>425569.93000000005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E-47BB-B373-B6BAFA008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770232"/>
        <c:axId val="600775808"/>
      </c:areaChart>
      <c:catAx>
        <c:axId val="60077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75808"/>
        <c:crosses val="autoZero"/>
        <c:auto val="1"/>
        <c:lblAlgn val="ctr"/>
        <c:lblOffset val="100"/>
        <c:noMultiLvlLbl val="0"/>
      </c:catAx>
      <c:valAx>
        <c:axId val="600775808"/>
        <c:scaling>
          <c:orientation val="minMax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70232"/>
        <c:crosses val="autoZero"/>
        <c:crossBetween val="midCat"/>
        <c:majorUnit val="30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2580253912415E-2"/>
          <c:y val="9.1345336218937548E-2"/>
          <c:w val="0.8818436204958543"/>
          <c:h val="0.73879337000683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STATEMEN!$S$2</c:f>
              <c:strCache>
                <c:ptCount val="1"/>
                <c:pt idx="0">
                  <c:v>Winning Months</c:v>
                </c:pt>
              </c:strCache>
            </c:strRef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STATEMEN!$R$1:$R$150</c:f>
              <c:strCache>
                <c:ptCount val="150"/>
                <c:pt idx="1">
                  <c:v>Period</c:v>
                </c:pt>
                <c:pt idx="3">
                  <c:v>11-Jun</c:v>
                </c:pt>
                <c:pt idx="4">
                  <c:v>11-Jul</c:v>
                </c:pt>
                <c:pt idx="5">
                  <c:v>11-Aug</c:v>
                </c:pt>
                <c:pt idx="6">
                  <c:v>11-Sep</c:v>
                </c:pt>
                <c:pt idx="7">
                  <c:v>11-Oct</c:v>
                </c:pt>
                <c:pt idx="8">
                  <c:v>11-Nov</c:v>
                </c:pt>
                <c:pt idx="9">
                  <c:v>11-Dec</c:v>
                </c:pt>
                <c:pt idx="10">
                  <c:v>12-Jan</c:v>
                </c:pt>
                <c:pt idx="11">
                  <c:v>12-Feb</c:v>
                </c:pt>
                <c:pt idx="12">
                  <c:v>12-Mar</c:v>
                </c:pt>
                <c:pt idx="13">
                  <c:v>12-Apr</c:v>
                </c:pt>
                <c:pt idx="14">
                  <c:v>12-May</c:v>
                </c:pt>
                <c:pt idx="15">
                  <c:v>12-Jun</c:v>
                </c:pt>
                <c:pt idx="16">
                  <c:v>12-Jul</c:v>
                </c:pt>
                <c:pt idx="17">
                  <c:v>12-Aug</c:v>
                </c:pt>
                <c:pt idx="18">
                  <c:v>12-Sep</c:v>
                </c:pt>
                <c:pt idx="19">
                  <c:v>12-Oct</c:v>
                </c:pt>
                <c:pt idx="20">
                  <c:v>12-Nov</c:v>
                </c:pt>
                <c:pt idx="21">
                  <c:v>12-Dec</c:v>
                </c:pt>
                <c:pt idx="22">
                  <c:v>13-Jan</c:v>
                </c:pt>
                <c:pt idx="23">
                  <c:v>13-Feb</c:v>
                </c:pt>
                <c:pt idx="24">
                  <c:v>13-Mar</c:v>
                </c:pt>
                <c:pt idx="25">
                  <c:v>13-Apr</c:v>
                </c:pt>
                <c:pt idx="26">
                  <c:v>13-May</c:v>
                </c:pt>
                <c:pt idx="27">
                  <c:v>13-Jun</c:v>
                </c:pt>
                <c:pt idx="28">
                  <c:v>13-Jul</c:v>
                </c:pt>
                <c:pt idx="29">
                  <c:v>13-Aug</c:v>
                </c:pt>
                <c:pt idx="30">
                  <c:v>13-Sep</c:v>
                </c:pt>
                <c:pt idx="31">
                  <c:v>13-Oct</c:v>
                </c:pt>
                <c:pt idx="32">
                  <c:v>13-Nov</c:v>
                </c:pt>
                <c:pt idx="33">
                  <c:v>13-Dec</c:v>
                </c:pt>
                <c:pt idx="34">
                  <c:v>14-Jan</c:v>
                </c:pt>
                <c:pt idx="35">
                  <c:v>14-Feb</c:v>
                </c:pt>
                <c:pt idx="36">
                  <c:v>14-Mar</c:v>
                </c:pt>
                <c:pt idx="37">
                  <c:v>14-Apr</c:v>
                </c:pt>
                <c:pt idx="38">
                  <c:v>14-May</c:v>
                </c:pt>
                <c:pt idx="39">
                  <c:v>14-Jun</c:v>
                </c:pt>
                <c:pt idx="40">
                  <c:v>14-Jul</c:v>
                </c:pt>
                <c:pt idx="41">
                  <c:v>14-Aug</c:v>
                </c:pt>
                <c:pt idx="42">
                  <c:v>14-Sep</c:v>
                </c:pt>
                <c:pt idx="43">
                  <c:v>14-Oct</c:v>
                </c:pt>
                <c:pt idx="44">
                  <c:v>14-Nov</c:v>
                </c:pt>
                <c:pt idx="45">
                  <c:v>14-Dec</c:v>
                </c:pt>
                <c:pt idx="46">
                  <c:v>15-Jan</c:v>
                </c:pt>
                <c:pt idx="47">
                  <c:v>15-Feb</c:v>
                </c:pt>
                <c:pt idx="48">
                  <c:v>15-Mar</c:v>
                </c:pt>
                <c:pt idx="49">
                  <c:v>15-Apr</c:v>
                </c:pt>
                <c:pt idx="50">
                  <c:v>15-May</c:v>
                </c:pt>
                <c:pt idx="51">
                  <c:v>15-Jun</c:v>
                </c:pt>
                <c:pt idx="52">
                  <c:v>15-Jul</c:v>
                </c:pt>
                <c:pt idx="53">
                  <c:v>15-Aug</c:v>
                </c:pt>
                <c:pt idx="54">
                  <c:v>15-Sep</c:v>
                </c:pt>
                <c:pt idx="55">
                  <c:v>15-Oct</c:v>
                </c:pt>
                <c:pt idx="56">
                  <c:v>15-Nov</c:v>
                </c:pt>
                <c:pt idx="57">
                  <c:v>15-Dec</c:v>
                </c:pt>
                <c:pt idx="58">
                  <c:v>16-Jan</c:v>
                </c:pt>
                <c:pt idx="59">
                  <c:v>16-Feb</c:v>
                </c:pt>
                <c:pt idx="60">
                  <c:v>16-Mar</c:v>
                </c:pt>
                <c:pt idx="61">
                  <c:v>16-Apr</c:v>
                </c:pt>
                <c:pt idx="62">
                  <c:v>16-May</c:v>
                </c:pt>
                <c:pt idx="63">
                  <c:v>16-Jun</c:v>
                </c:pt>
                <c:pt idx="64">
                  <c:v>16-Jul</c:v>
                </c:pt>
                <c:pt idx="65">
                  <c:v>16-Aug</c:v>
                </c:pt>
                <c:pt idx="66">
                  <c:v>16-Sep</c:v>
                </c:pt>
                <c:pt idx="67">
                  <c:v>16-Oct</c:v>
                </c:pt>
                <c:pt idx="68">
                  <c:v>16-Nov</c:v>
                </c:pt>
                <c:pt idx="69">
                  <c:v>16-Dec</c:v>
                </c:pt>
                <c:pt idx="70">
                  <c:v>17-Jan</c:v>
                </c:pt>
                <c:pt idx="71">
                  <c:v>17-Feb</c:v>
                </c:pt>
                <c:pt idx="72">
                  <c:v>17-Mar</c:v>
                </c:pt>
                <c:pt idx="73">
                  <c:v>17-Apr</c:v>
                </c:pt>
                <c:pt idx="74">
                  <c:v>17-May</c:v>
                </c:pt>
                <c:pt idx="75">
                  <c:v>17-Jun</c:v>
                </c:pt>
                <c:pt idx="76">
                  <c:v>17-Jul</c:v>
                </c:pt>
                <c:pt idx="77">
                  <c:v>17-Aug</c:v>
                </c:pt>
                <c:pt idx="78">
                  <c:v>17-Sep</c:v>
                </c:pt>
                <c:pt idx="79">
                  <c:v>17-Oct</c:v>
                </c:pt>
                <c:pt idx="80">
                  <c:v>17-Nov</c:v>
                </c:pt>
                <c:pt idx="81">
                  <c:v>17-Dec</c:v>
                </c:pt>
                <c:pt idx="82">
                  <c:v>18-Jan</c:v>
                </c:pt>
                <c:pt idx="83">
                  <c:v>18-Feb</c:v>
                </c:pt>
                <c:pt idx="84">
                  <c:v>18-Mar</c:v>
                </c:pt>
                <c:pt idx="85">
                  <c:v>18-Apr</c:v>
                </c:pt>
                <c:pt idx="86">
                  <c:v>18-May</c:v>
                </c:pt>
                <c:pt idx="87">
                  <c:v>18-Jun</c:v>
                </c:pt>
                <c:pt idx="88">
                  <c:v>18-Jul</c:v>
                </c:pt>
                <c:pt idx="89">
                  <c:v>18-Aug</c:v>
                </c:pt>
                <c:pt idx="90">
                  <c:v>18-Sep</c:v>
                </c:pt>
                <c:pt idx="91">
                  <c:v>18-Oct</c:v>
                </c:pt>
                <c:pt idx="92">
                  <c:v>18-Nov</c:v>
                </c:pt>
                <c:pt idx="93">
                  <c:v>18-Dec</c:v>
                </c:pt>
                <c:pt idx="94">
                  <c:v>19-Jan</c:v>
                </c:pt>
                <c:pt idx="95">
                  <c:v>19-Feb</c:v>
                </c:pt>
                <c:pt idx="96">
                  <c:v>19-Mar</c:v>
                </c:pt>
                <c:pt idx="97">
                  <c:v>19-Apr</c:v>
                </c:pt>
                <c:pt idx="98">
                  <c:v>19-May</c:v>
                </c:pt>
                <c:pt idx="99">
                  <c:v>19-Jun</c:v>
                </c:pt>
                <c:pt idx="100">
                  <c:v>19-Jul </c:v>
                </c:pt>
                <c:pt idx="101">
                  <c:v>19-Aug</c:v>
                </c:pt>
                <c:pt idx="102">
                  <c:v>19-Sep</c:v>
                </c:pt>
                <c:pt idx="103">
                  <c:v>19-Oct</c:v>
                </c:pt>
                <c:pt idx="104">
                  <c:v>19-Nov</c:v>
                </c:pt>
                <c:pt idx="105">
                  <c:v>19-Dec</c:v>
                </c:pt>
                <c:pt idx="106">
                  <c:v>20-Jan</c:v>
                </c:pt>
                <c:pt idx="107">
                  <c:v>20-Feb</c:v>
                </c:pt>
                <c:pt idx="108">
                  <c:v>20-Mar</c:v>
                </c:pt>
                <c:pt idx="109">
                  <c:v>20-Apr</c:v>
                </c:pt>
                <c:pt idx="110">
                  <c:v>20-May</c:v>
                </c:pt>
                <c:pt idx="111">
                  <c:v>20-Jun</c:v>
                </c:pt>
                <c:pt idx="112">
                  <c:v>20-Jul</c:v>
                </c:pt>
                <c:pt idx="113">
                  <c:v>20-Aug</c:v>
                </c:pt>
                <c:pt idx="114">
                  <c:v>20-Sep</c:v>
                </c:pt>
                <c:pt idx="115">
                  <c:v>20-Oct</c:v>
                </c:pt>
                <c:pt idx="116">
                  <c:v>20-Nov</c:v>
                </c:pt>
                <c:pt idx="117">
                  <c:v>20-Dec</c:v>
                </c:pt>
                <c:pt idx="118">
                  <c:v>21-Jan</c:v>
                </c:pt>
                <c:pt idx="119">
                  <c:v>21-Feb</c:v>
                </c:pt>
                <c:pt idx="120">
                  <c:v>21-Mar</c:v>
                </c:pt>
                <c:pt idx="121">
                  <c:v>21-Apr</c:v>
                </c:pt>
                <c:pt idx="122">
                  <c:v>21-May</c:v>
                </c:pt>
                <c:pt idx="123">
                  <c:v>21-Jun</c:v>
                </c:pt>
                <c:pt idx="124">
                  <c:v>21-Jul</c:v>
                </c:pt>
                <c:pt idx="125">
                  <c:v>21-Aug</c:v>
                </c:pt>
                <c:pt idx="126">
                  <c:v>21-Sep</c:v>
                </c:pt>
                <c:pt idx="127">
                  <c:v>21-Oct</c:v>
                </c:pt>
                <c:pt idx="128">
                  <c:v>21-Nov</c:v>
                </c:pt>
                <c:pt idx="129">
                  <c:v>21-Dec</c:v>
                </c:pt>
                <c:pt idx="130">
                  <c:v>22-Jan</c:v>
                </c:pt>
                <c:pt idx="131">
                  <c:v>22-Feb</c:v>
                </c:pt>
                <c:pt idx="132">
                  <c:v>22--Mar</c:v>
                </c:pt>
                <c:pt idx="133">
                  <c:v>22-Apr</c:v>
                </c:pt>
                <c:pt idx="134">
                  <c:v>22-May</c:v>
                </c:pt>
                <c:pt idx="135">
                  <c:v>22-Jun</c:v>
                </c:pt>
                <c:pt idx="136">
                  <c:v>22-Jul</c:v>
                </c:pt>
                <c:pt idx="137">
                  <c:v>22-Aug</c:v>
                </c:pt>
                <c:pt idx="138">
                  <c:v>22-Sep</c:v>
                </c:pt>
                <c:pt idx="139">
                  <c:v>22-Oct</c:v>
                </c:pt>
                <c:pt idx="140">
                  <c:v>22-Nov</c:v>
                </c:pt>
                <c:pt idx="141">
                  <c:v>22-Dec</c:v>
                </c:pt>
                <c:pt idx="142">
                  <c:v>23-Jan</c:v>
                </c:pt>
                <c:pt idx="143">
                  <c:v>23-Feb</c:v>
                </c:pt>
                <c:pt idx="144">
                  <c:v>23-Mar</c:v>
                </c:pt>
                <c:pt idx="145">
                  <c:v>23-Apr</c:v>
                </c:pt>
                <c:pt idx="146">
                  <c:v>23-May</c:v>
                </c:pt>
                <c:pt idx="147">
                  <c:v>23-Jun</c:v>
                </c:pt>
                <c:pt idx="148">
                  <c:v>23-Jul</c:v>
                </c:pt>
                <c:pt idx="149">
                  <c:v>23-Aug</c:v>
                </c:pt>
              </c:strCache>
            </c:strRef>
          </c:cat>
          <c:val>
            <c:numRef>
              <c:f>STATEMEN!$S$3:$S$150</c:f>
              <c:numCache>
                <c:formatCode>"$"#,##0.00_);[Red]\("$"#,##0.00\)</c:formatCode>
                <c:ptCount val="148"/>
                <c:pt idx="1">
                  <c:v>4631.25</c:v>
                </c:pt>
                <c:pt idx="4">
                  <c:v>3287.5</c:v>
                </c:pt>
                <c:pt idx="5">
                  <c:v>13443.75</c:v>
                </c:pt>
                <c:pt idx="6">
                  <c:v>6137.5</c:v>
                </c:pt>
                <c:pt idx="7">
                  <c:v>5568.75</c:v>
                </c:pt>
                <c:pt idx="8">
                  <c:v>4225</c:v>
                </c:pt>
                <c:pt idx="9">
                  <c:v>3637.5</c:v>
                </c:pt>
                <c:pt idx="10">
                  <c:v>5925</c:v>
                </c:pt>
                <c:pt idx="13">
                  <c:v>5925</c:v>
                </c:pt>
                <c:pt idx="14">
                  <c:v>5550</c:v>
                </c:pt>
                <c:pt idx="18">
                  <c:v>5662.5</c:v>
                </c:pt>
                <c:pt idx="21">
                  <c:v>1487.5</c:v>
                </c:pt>
                <c:pt idx="23">
                  <c:v>7800</c:v>
                </c:pt>
                <c:pt idx="24">
                  <c:v>8100</c:v>
                </c:pt>
                <c:pt idx="26">
                  <c:v>4687.5</c:v>
                </c:pt>
                <c:pt idx="28">
                  <c:v>4612.5</c:v>
                </c:pt>
                <c:pt idx="29">
                  <c:v>3237.5</c:v>
                </c:pt>
                <c:pt idx="31">
                  <c:v>2850</c:v>
                </c:pt>
                <c:pt idx="33">
                  <c:v>13287.5</c:v>
                </c:pt>
                <c:pt idx="35">
                  <c:v>7825</c:v>
                </c:pt>
                <c:pt idx="36">
                  <c:v>6075</c:v>
                </c:pt>
                <c:pt idx="37">
                  <c:v>25</c:v>
                </c:pt>
                <c:pt idx="39">
                  <c:v>4375</c:v>
                </c:pt>
                <c:pt idx="40">
                  <c:v>7050</c:v>
                </c:pt>
                <c:pt idx="41">
                  <c:v>2512.5</c:v>
                </c:pt>
                <c:pt idx="42">
                  <c:v>3900</c:v>
                </c:pt>
                <c:pt idx="43">
                  <c:v>2875</c:v>
                </c:pt>
                <c:pt idx="44">
                  <c:v>15150</c:v>
                </c:pt>
                <c:pt idx="45">
                  <c:v>8912.5</c:v>
                </c:pt>
                <c:pt idx="46">
                  <c:v>9843.75</c:v>
                </c:pt>
                <c:pt idx="49">
                  <c:v>6506.25</c:v>
                </c:pt>
                <c:pt idx="50">
                  <c:v>4650</c:v>
                </c:pt>
                <c:pt idx="53">
                  <c:v>19500</c:v>
                </c:pt>
                <c:pt idx="54">
                  <c:v>10912.5</c:v>
                </c:pt>
                <c:pt idx="55">
                  <c:v>100</c:v>
                </c:pt>
                <c:pt idx="56">
                  <c:v>675</c:v>
                </c:pt>
                <c:pt idx="57">
                  <c:v>16012.5</c:v>
                </c:pt>
                <c:pt idx="59">
                  <c:v>3225</c:v>
                </c:pt>
                <c:pt idx="61">
                  <c:v>5862.5</c:v>
                </c:pt>
                <c:pt idx="62">
                  <c:v>3837.5</c:v>
                </c:pt>
                <c:pt idx="63">
                  <c:v>7687.5</c:v>
                </c:pt>
                <c:pt idx="66">
                  <c:v>3425</c:v>
                </c:pt>
                <c:pt idx="67">
                  <c:v>1200</c:v>
                </c:pt>
                <c:pt idx="68">
                  <c:v>4388.25</c:v>
                </c:pt>
                <c:pt idx="70">
                  <c:v>3412.5</c:v>
                </c:pt>
                <c:pt idx="71">
                  <c:v>7127.25</c:v>
                </c:pt>
                <c:pt idx="72">
                  <c:v>3825.5</c:v>
                </c:pt>
                <c:pt idx="73">
                  <c:v>3950</c:v>
                </c:pt>
                <c:pt idx="74">
                  <c:v>8662.5</c:v>
                </c:pt>
                <c:pt idx="76">
                  <c:v>5152.5</c:v>
                </c:pt>
                <c:pt idx="78">
                  <c:v>7365</c:v>
                </c:pt>
                <c:pt idx="80">
                  <c:v>11876.44</c:v>
                </c:pt>
                <c:pt idx="81">
                  <c:v>6563.25</c:v>
                </c:pt>
                <c:pt idx="82">
                  <c:v>1774.5</c:v>
                </c:pt>
                <c:pt idx="85">
                  <c:v>5132.04</c:v>
                </c:pt>
                <c:pt idx="86">
                  <c:v>4625.3100000000004</c:v>
                </c:pt>
                <c:pt idx="89">
                  <c:v>11257.5</c:v>
                </c:pt>
                <c:pt idx="90">
                  <c:v>3335.5</c:v>
                </c:pt>
                <c:pt idx="91">
                  <c:v>18955.740000000002</c:v>
                </c:pt>
                <c:pt idx="92">
                  <c:v>7631.25</c:v>
                </c:pt>
                <c:pt idx="93">
                  <c:v>5350.15</c:v>
                </c:pt>
                <c:pt idx="94">
                  <c:v>925.88</c:v>
                </c:pt>
                <c:pt idx="95">
                  <c:v>5023.34</c:v>
                </c:pt>
                <c:pt idx="96">
                  <c:v>3125.88</c:v>
                </c:pt>
                <c:pt idx="97">
                  <c:v>4751.3500000000004</c:v>
                </c:pt>
                <c:pt idx="98">
                  <c:v>537.37</c:v>
                </c:pt>
                <c:pt idx="100">
                  <c:v>3875.48</c:v>
                </c:pt>
                <c:pt idx="101">
                  <c:v>6713.44</c:v>
                </c:pt>
                <c:pt idx="102">
                  <c:v>4669.8</c:v>
                </c:pt>
                <c:pt idx="103">
                  <c:v>3552.48</c:v>
                </c:pt>
                <c:pt idx="105">
                  <c:v>13382.25</c:v>
                </c:pt>
                <c:pt idx="106">
                  <c:v>18905.060000000001</c:v>
                </c:pt>
                <c:pt idx="110">
                  <c:v>484.25</c:v>
                </c:pt>
                <c:pt idx="111">
                  <c:v>404.19</c:v>
                </c:pt>
                <c:pt idx="114">
                  <c:v>0</c:v>
                </c:pt>
                <c:pt idx="115">
                  <c:v>246.75</c:v>
                </c:pt>
                <c:pt idx="116">
                  <c:v>38.5</c:v>
                </c:pt>
                <c:pt idx="117">
                  <c:v>1950</c:v>
                </c:pt>
                <c:pt idx="118">
                  <c:v>916.5</c:v>
                </c:pt>
                <c:pt idx="119">
                  <c:v>10622.5</c:v>
                </c:pt>
                <c:pt idx="121">
                  <c:v>4100</c:v>
                </c:pt>
                <c:pt idx="122">
                  <c:v>4888</c:v>
                </c:pt>
                <c:pt idx="123">
                  <c:v>6731</c:v>
                </c:pt>
                <c:pt idx="124">
                  <c:v>1982</c:v>
                </c:pt>
                <c:pt idx="125">
                  <c:v>336.5</c:v>
                </c:pt>
                <c:pt idx="128">
                  <c:v>17625</c:v>
                </c:pt>
                <c:pt idx="129">
                  <c:v>6948</c:v>
                </c:pt>
                <c:pt idx="130">
                  <c:v>3911.12</c:v>
                </c:pt>
                <c:pt idx="131">
                  <c:v>5246.01</c:v>
                </c:pt>
                <c:pt idx="133">
                  <c:v>615.5</c:v>
                </c:pt>
                <c:pt idx="134">
                  <c:v>1244.5</c:v>
                </c:pt>
                <c:pt idx="136">
                  <c:v>17460</c:v>
                </c:pt>
                <c:pt idx="137">
                  <c:v>0</c:v>
                </c:pt>
                <c:pt idx="138">
                  <c:v>8290.08</c:v>
                </c:pt>
                <c:pt idx="139">
                  <c:v>0</c:v>
                </c:pt>
                <c:pt idx="140">
                  <c:v>3153.95</c:v>
                </c:pt>
                <c:pt idx="141">
                  <c:v>3325.5</c:v>
                </c:pt>
                <c:pt idx="142">
                  <c:v>4920.5</c:v>
                </c:pt>
                <c:pt idx="143">
                  <c:v>4202.75</c:v>
                </c:pt>
                <c:pt idx="144">
                  <c:v>25</c:v>
                </c:pt>
                <c:pt idx="145">
                  <c:v>13012.5</c:v>
                </c:pt>
                <c:pt idx="146">
                  <c:v>5600</c:v>
                </c:pt>
                <c:pt idx="1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A-4E90-ADDC-F664E6F16C51}"/>
            </c:ext>
          </c:extLst>
        </c:ser>
        <c:ser>
          <c:idx val="1"/>
          <c:order val="1"/>
          <c:tx>
            <c:strRef>
              <c:f>STATEMEN!$T$2</c:f>
              <c:strCache>
                <c:ptCount val="1"/>
                <c:pt idx="0">
                  <c:v>Losing Months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rgbClr val="FF0000"/>
              </a:solidFill>
            </a:ln>
            <a:effectLst/>
          </c:spPr>
          <c:invertIfNegative val="0"/>
          <c:cat>
            <c:strRef>
              <c:f>STATEMEN!$R$1:$R$150</c:f>
              <c:strCache>
                <c:ptCount val="150"/>
                <c:pt idx="1">
                  <c:v>Period</c:v>
                </c:pt>
                <c:pt idx="3">
                  <c:v>11-Jun</c:v>
                </c:pt>
                <c:pt idx="4">
                  <c:v>11-Jul</c:v>
                </c:pt>
                <c:pt idx="5">
                  <c:v>11-Aug</c:v>
                </c:pt>
                <c:pt idx="6">
                  <c:v>11-Sep</c:v>
                </c:pt>
                <c:pt idx="7">
                  <c:v>11-Oct</c:v>
                </c:pt>
                <c:pt idx="8">
                  <c:v>11-Nov</c:v>
                </c:pt>
                <c:pt idx="9">
                  <c:v>11-Dec</c:v>
                </c:pt>
                <c:pt idx="10">
                  <c:v>12-Jan</c:v>
                </c:pt>
                <c:pt idx="11">
                  <c:v>12-Feb</c:v>
                </c:pt>
                <c:pt idx="12">
                  <c:v>12-Mar</c:v>
                </c:pt>
                <c:pt idx="13">
                  <c:v>12-Apr</c:v>
                </c:pt>
                <c:pt idx="14">
                  <c:v>12-May</c:v>
                </c:pt>
                <c:pt idx="15">
                  <c:v>12-Jun</c:v>
                </c:pt>
                <c:pt idx="16">
                  <c:v>12-Jul</c:v>
                </c:pt>
                <c:pt idx="17">
                  <c:v>12-Aug</c:v>
                </c:pt>
                <c:pt idx="18">
                  <c:v>12-Sep</c:v>
                </c:pt>
                <c:pt idx="19">
                  <c:v>12-Oct</c:v>
                </c:pt>
                <c:pt idx="20">
                  <c:v>12-Nov</c:v>
                </c:pt>
                <c:pt idx="21">
                  <c:v>12-Dec</c:v>
                </c:pt>
                <c:pt idx="22">
                  <c:v>13-Jan</c:v>
                </c:pt>
                <c:pt idx="23">
                  <c:v>13-Feb</c:v>
                </c:pt>
                <c:pt idx="24">
                  <c:v>13-Mar</c:v>
                </c:pt>
                <c:pt idx="25">
                  <c:v>13-Apr</c:v>
                </c:pt>
                <c:pt idx="26">
                  <c:v>13-May</c:v>
                </c:pt>
                <c:pt idx="27">
                  <c:v>13-Jun</c:v>
                </c:pt>
                <c:pt idx="28">
                  <c:v>13-Jul</c:v>
                </c:pt>
                <c:pt idx="29">
                  <c:v>13-Aug</c:v>
                </c:pt>
                <c:pt idx="30">
                  <c:v>13-Sep</c:v>
                </c:pt>
                <c:pt idx="31">
                  <c:v>13-Oct</c:v>
                </c:pt>
                <c:pt idx="32">
                  <c:v>13-Nov</c:v>
                </c:pt>
                <c:pt idx="33">
                  <c:v>13-Dec</c:v>
                </c:pt>
                <c:pt idx="34">
                  <c:v>14-Jan</c:v>
                </c:pt>
                <c:pt idx="35">
                  <c:v>14-Feb</c:v>
                </c:pt>
                <c:pt idx="36">
                  <c:v>14-Mar</c:v>
                </c:pt>
                <c:pt idx="37">
                  <c:v>14-Apr</c:v>
                </c:pt>
                <c:pt idx="38">
                  <c:v>14-May</c:v>
                </c:pt>
                <c:pt idx="39">
                  <c:v>14-Jun</c:v>
                </c:pt>
                <c:pt idx="40">
                  <c:v>14-Jul</c:v>
                </c:pt>
                <c:pt idx="41">
                  <c:v>14-Aug</c:v>
                </c:pt>
                <c:pt idx="42">
                  <c:v>14-Sep</c:v>
                </c:pt>
                <c:pt idx="43">
                  <c:v>14-Oct</c:v>
                </c:pt>
                <c:pt idx="44">
                  <c:v>14-Nov</c:v>
                </c:pt>
                <c:pt idx="45">
                  <c:v>14-Dec</c:v>
                </c:pt>
                <c:pt idx="46">
                  <c:v>15-Jan</c:v>
                </c:pt>
                <c:pt idx="47">
                  <c:v>15-Feb</c:v>
                </c:pt>
                <c:pt idx="48">
                  <c:v>15-Mar</c:v>
                </c:pt>
                <c:pt idx="49">
                  <c:v>15-Apr</c:v>
                </c:pt>
                <c:pt idx="50">
                  <c:v>15-May</c:v>
                </c:pt>
                <c:pt idx="51">
                  <c:v>15-Jun</c:v>
                </c:pt>
                <c:pt idx="52">
                  <c:v>15-Jul</c:v>
                </c:pt>
                <c:pt idx="53">
                  <c:v>15-Aug</c:v>
                </c:pt>
                <c:pt idx="54">
                  <c:v>15-Sep</c:v>
                </c:pt>
                <c:pt idx="55">
                  <c:v>15-Oct</c:v>
                </c:pt>
                <c:pt idx="56">
                  <c:v>15-Nov</c:v>
                </c:pt>
                <c:pt idx="57">
                  <c:v>15-Dec</c:v>
                </c:pt>
                <c:pt idx="58">
                  <c:v>16-Jan</c:v>
                </c:pt>
                <c:pt idx="59">
                  <c:v>16-Feb</c:v>
                </c:pt>
                <c:pt idx="60">
                  <c:v>16-Mar</c:v>
                </c:pt>
                <c:pt idx="61">
                  <c:v>16-Apr</c:v>
                </c:pt>
                <c:pt idx="62">
                  <c:v>16-May</c:v>
                </c:pt>
                <c:pt idx="63">
                  <c:v>16-Jun</c:v>
                </c:pt>
                <c:pt idx="64">
                  <c:v>16-Jul</c:v>
                </c:pt>
                <c:pt idx="65">
                  <c:v>16-Aug</c:v>
                </c:pt>
                <c:pt idx="66">
                  <c:v>16-Sep</c:v>
                </c:pt>
                <c:pt idx="67">
                  <c:v>16-Oct</c:v>
                </c:pt>
                <c:pt idx="68">
                  <c:v>16-Nov</c:v>
                </c:pt>
                <c:pt idx="69">
                  <c:v>16-Dec</c:v>
                </c:pt>
                <c:pt idx="70">
                  <c:v>17-Jan</c:v>
                </c:pt>
                <c:pt idx="71">
                  <c:v>17-Feb</c:v>
                </c:pt>
                <c:pt idx="72">
                  <c:v>17-Mar</c:v>
                </c:pt>
                <c:pt idx="73">
                  <c:v>17-Apr</c:v>
                </c:pt>
                <c:pt idx="74">
                  <c:v>17-May</c:v>
                </c:pt>
                <c:pt idx="75">
                  <c:v>17-Jun</c:v>
                </c:pt>
                <c:pt idx="76">
                  <c:v>17-Jul</c:v>
                </c:pt>
                <c:pt idx="77">
                  <c:v>17-Aug</c:v>
                </c:pt>
                <c:pt idx="78">
                  <c:v>17-Sep</c:v>
                </c:pt>
                <c:pt idx="79">
                  <c:v>17-Oct</c:v>
                </c:pt>
                <c:pt idx="80">
                  <c:v>17-Nov</c:v>
                </c:pt>
                <c:pt idx="81">
                  <c:v>17-Dec</c:v>
                </c:pt>
                <c:pt idx="82">
                  <c:v>18-Jan</c:v>
                </c:pt>
                <c:pt idx="83">
                  <c:v>18-Feb</c:v>
                </c:pt>
                <c:pt idx="84">
                  <c:v>18-Mar</c:v>
                </c:pt>
                <c:pt idx="85">
                  <c:v>18-Apr</c:v>
                </c:pt>
                <c:pt idx="86">
                  <c:v>18-May</c:v>
                </c:pt>
                <c:pt idx="87">
                  <c:v>18-Jun</c:v>
                </c:pt>
                <c:pt idx="88">
                  <c:v>18-Jul</c:v>
                </c:pt>
                <c:pt idx="89">
                  <c:v>18-Aug</c:v>
                </c:pt>
                <c:pt idx="90">
                  <c:v>18-Sep</c:v>
                </c:pt>
                <c:pt idx="91">
                  <c:v>18-Oct</c:v>
                </c:pt>
                <c:pt idx="92">
                  <c:v>18-Nov</c:v>
                </c:pt>
                <c:pt idx="93">
                  <c:v>18-Dec</c:v>
                </c:pt>
                <c:pt idx="94">
                  <c:v>19-Jan</c:v>
                </c:pt>
                <c:pt idx="95">
                  <c:v>19-Feb</c:v>
                </c:pt>
                <c:pt idx="96">
                  <c:v>19-Mar</c:v>
                </c:pt>
                <c:pt idx="97">
                  <c:v>19-Apr</c:v>
                </c:pt>
                <c:pt idx="98">
                  <c:v>19-May</c:v>
                </c:pt>
                <c:pt idx="99">
                  <c:v>19-Jun</c:v>
                </c:pt>
                <c:pt idx="100">
                  <c:v>19-Jul </c:v>
                </c:pt>
                <c:pt idx="101">
                  <c:v>19-Aug</c:v>
                </c:pt>
                <c:pt idx="102">
                  <c:v>19-Sep</c:v>
                </c:pt>
                <c:pt idx="103">
                  <c:v>19-Oct</c:v>
                </c:pt>
                <c:pt idx="104">
                  <c:v>19-Nov</c:v>
                </c:pt>
                <c:pt idx="105">
                  <c:v>19-Dec</c:v>
                </c:pt>
                <c:pt idx="106">
                  <c:v>20-Jan</c:v>
                </c:pt>
                <c:pt idx="107">
                  <c:v>20-Feb</c:v>
                </c:pt>
                <c:pt idx="108">
                  <c:v>20-Mar</c:v>
                </c:pt>
                <c:pt idx="109">
                  <c:v>20-Apr</c:v>
                </c:pt>
                <c:pt idx="110">
                  <c:v>20-May</c:v>
                </c:pt>
                <c:pt idx="111">
                  <c:v>20-Jun</c:v>
                </c:pt>
                <c:pt idx="112">
                  <c:v>20-Jul</c:v>
                </c:pt>
                <c:pt idx="113">
                  <c:v>20-Aug</c:v>
                </c:pt>
                <c:pt idx="114">
                  <c:v>20-Sep</c:v>
                </c:pt>
                <c:pt idx="115">
                  <c:v>20-Oct</c:v>
                </c:pt>
                <c:pt idx="116">
                  <c:v>20-Nov</c:v>
                </c:pt>
                <c:pt idx="117">
                  <c:v>20-Dec</c:v>
                </c:pt>
                <c:pt idx="118">
                  <c:v>21-Jan</c:v>
                </c:pt>
                <c:pt idx="119">
                  <c:v>21-Feb</c:v>
                </c:pt>
                <c:pt idx="120">
                  <c:v>21-Mar</c:v>
                </c:pt>
                <c:pt idx="121">
                  <c:v>21-Apr</c:v>
                </c:pt>
                <c:pt idx="122">
                  <c:v>21-May</c:v>
                </c:pt>
                <c:pt idx="123">
                  <c:v>21-Jun</c:v>
                </c:pt>
                <c:pt idx="124">
                  <c:v>21-Jul</c:v>
                </c:pt>
                <c:pt idx="125">
                  <c:v>21-Aug</c:v>
                </c:pt>
                <c:pt idx="126">
                  <c:v>21-Sep</c:v>
                </c:pt>
                <c:pt idx="127">
                  <c:v>21-Oct</c:v>
                </c:pt>
                <c:pt idx="128">
                  <c:v>21-Nov</c:v>
                </c:pt>
                <c:pt idx="129">
                  <c:v>21-Dec</c:v>
                </c:pt>
                <c:pt idx="130">
                  <c:v>22-Jan</c:v>
                </c:pt>
                <c:pt idx="131">
                  <c:v>22-Feb</c:v>
                </c:pt>
                <c:pt idx="132">
                  <c:v>22--Mar</c:v>
                </c:pt>
                <c:pt idx="133">
                  <c:v>22-Apr</c:v>
                </c:pt>
                <c:pt idx="134">
                  <c:v>22-May</c:v>
                </c:pt>
                <c:pt idx="135">
                  <c:v>22-Jun</c:v>
                </c:pt>
                <c:pt idx="136">
                  <c:v>22-Jul</c:v>
                </c:pt>
                <c:pt idx="137">
                  <c:v>22-Aug</c:v>
                </c:pt>
                <c:pt idx="138">
                  <c:v>22-Sep</c:v>
                </c:pt>
                <c:pt idx="139">
                  <c:v>22-Oct</c:v>
                </c:pt>
                <c:pt idx="140">
                  <c:v>22-Nov</c:v>
                </c:pt>
                <c:pt idx="141">
                  <c:v>22-Dec</c:v>
                </c:pt>
                <c:pt idx="142">
                  <c:v>23-Jan</c:v>
                </c:pt>
                <c:pt idx="143">
                  <c:v>23-Feb</c:v>
                </c:pt>
                <c:pt idx="144">
                  <c:v>23-Mar</c:v>
                </c:pt>
                <c:pt idx="145">
                  <c:v>23-Apr</c:v>
                </c:pt>
                <c:pt idx="146">
                  <c:v>23-May</c:v>
                </c:pt>
                <c:pt idx="147">
                  <c:v>23-Jun</c:v>
                </c:pt>
                <c:pt idx="148">
                  <c:v>23-Jul</c:v>
                </c:pt>
                <c:pt idx="149">
                  <c:v>23-Aug</c:v>
                </c:pt>
              </c:strCache>
            </c:strRef>
          </c:cat>
          <c:val>
            <c:numRef>
              <c:f>STATEMEN!$T$3:$T$150</c:f>
              <c:numCache>
                <c:formatCode>General</c:formatCode>
                <c:ptCount val="148"/>
                <c:pt idx="2" formatCode="&quot;$&quot;#,##0.00_);[Red]\(&quot;$&quot;#,##0.00\)">
                  <c:v>-1850</c:v>
                </c:pt>
                <c:pt idx="3" formatCode="&quot;$&quot;#,##0.00_);[Red]\(&quot;$&quot;#,##0.00\)">
                  <c:v>-7893.75</c:v>
                </c:pt>
                <c:pt idx="11" formatCode="&quot;$&quot;#,##0.00_);[Red]\(&quot;$&quot;#,##0.00\)">
                  <c:v>-3075</c:v>
                </c:pt>
                <c:pt idx="12" formatCode="&quot;$&quot;#,##0.00_);[Red]\(&quot;$&quot;#,##0.00\)">
                  <c:v>-4675</c:v>
                </c:pt>
                <c:pt idx="15" formatCode="&quot;$&quot;#,##0.00_);[Red]\(&quot;$&quot;#,##0.00\)">
                  <c:v>-4050</c:v>
                </c:pt>
                <c:pt idx="16" formatCode="&quot;$&quot;#,##0.00_);[Red]\(&quot;$&quot;#,##0.00\)">
                  <c:v>-6362.5</c:v>
                </c:pt>
                <c:pt idx="17" formatCode="&quot;$&quot;#,##0.00_);[Red]\(&quot;$&quot;#,##0.00\)">
                  <c:v>-412.5</c:v>
                </c:pt>
                <c:pt idx="19" formatCode="&quot;$&quot;#,##0.00_);[Red]\(&quot;$&quot;#,##0.00\)">
                  <c:v>-987.5</c:v>
                </c:pt>
                <c:pt idx="20" formatCode="&quot;$&quot;#,##0.00_);[Red]\(&quot;$&quot;#,##0.00\)">
                  <c:v>-3131.25</c:v>
                </c:pt>
                <c:pt idx="22" formatCode="&quot;$&quot;#,##0.00_);[Red]\(&quot;$&quot;#,##0.00\)">
                  <c:v>-5215.5</c:v>
                </c:pt>
                <c:pt idx="25" formatCode="&quot;$&quot;#,##0.00_);[Red]\(&quot;$&quot;#,##0.00\)">
                  <c:v>-3550</c:v>
                </c:pt>
                <c:pt idx="27" formatCode="&quot;$&quot;#,##0.00_);[Red]\(&quot;$&quot;#,##0.00\)">
                  <c:v>-2712.5</c:v>
                </c:pt>
                <c:pt idx="30" formatCode="&quot;$&quot;#,##0.00_);[Red]\(&quot;$&quot;#,##0.00\)">
                  <c:v>-5062.5</c:v>
                </c:pt>
                <c:pt idx="32" formatCode="&quot;$&quot;#,##0.00_);[Red]\(&quot;$&quot;#,##0.00\)">
                  <c:v>-2550</c:v>
                </c:pt>
                <c:pt idx="34" formatCode="&quot;$&quot;#,##0.00_);[Red]\(&quot;$&quot;#,##0.00\)">
                  <c:v>-56.25</c:v>
                </c:pt>
                <c:pt idx="38" formatCode="&quot;$&quot;#,##0.00_);[Red]\(&quot;$&quot;#,##0.00\)">
                  <c:v>-1368.75</c:v>
                </c:pt>
                <c:pt idx="47" formatCode="&quot;$&quot;#,##0.00_);[Red]\(&quot;$&quot;#,##0.00\)">
                  <c:v>-6956.25</c:v>
                </c:pt>
                <c:pt idx="48" formatCode="&quot;$&quot;#,##0.00_);[Red]\(&quot;$&quot;#,##0.00\)">
                  <c:v>-5118.75</c:v>
                </c:pt>
                <c:pt idx="51" formatCode="&quot;$&quot;#,##0.00_);[Red]\(&quot;$&quot;#,##0.00\)">
                  <c:v>-4631.25</c:v>
                </c:pt>
                <c:pt idx="52" formatCode="&quot;$&quot;#,##0.00_);[Red]\(&quot;$&quot;#,##0.00\)">
                  <c:v>-1762.5</c:v>
                </c:pt>
                <c:pt idx="58" formatCode="&quot;$&quot;#,##0.00_);[Red]\(&quot;$&quot;#,##0.00\)">
                  <c:v>-506.25</c:v>
                </c:pt>
                <c:pt idx="60" formatCode="&quot;$&quot;#,##0.00_);[Red]\(&quot;$&quot;#,##0.00\)">
                  <c:v>-5775</c:v>
                </c:pt>
                <c:pt idx="64" formatCode="&quot;$&quot;#,##0.00_);[Red]\(&quot;$&quot;#,##0.00\)">
                  <c:v>-1762.5</c:v>
                </c:pt>
                <c:pt idx="65" formatCode="&quot;$&quot;#,##0.00_);[Red]\(&quot;$&quot;#,##0.00\)">
                  <c:v>-2306.25</c:v>
                </c:pt>
                <c:pt idx="69" formatCode="&quot;$&quot;#,##0.00_);[Red]\(&quot;$&quot;#,##0.00\)">
                  <c:v>-4275</c:v>
                </c:pt>
                <c:pt idx="75" formatCode="&quot;$&quot;#,##0.00_);[Red]\(&quot;$&quot;#,##0.00\)">
                  <c:v>-1150</c:v>
                </c:pt>
                <c:pt idx="77" formatCode="&quot;$&quot;#,##0.00_);[Red]\(&quot;$&quot;#,##0.00\)">
                  <c:v>-2274</c:v>
                </c:pt>
                <c:pt idx="79" formatCode="&quot;$&quot;#,##0.00_);[Red]\(&quot;$&quot;#,##0.00\)">
                  <c:v>-3104.5</c:v>
                </c:pt>
                <c:pt idx="83" formatCode="&quot;$&quot;#,##0.00_);[Red]\(&quot;$&quot;#,##0.00\)">
                  <c:v>-4125</c:v>
                </c:pt>
                <c:pt idx="84" formatCode="&quot;$&quot;#,##0.00_);[Red]\(&quot;$&quot;#,##0.00\)">
                  <c:v>-2245</c:v>
                </c:pt>
                <c:pt idx="87" formatCode="&quot;$&quot;#,##0.00_);[Red]\(&quot;$&quot;#,##0.00\)">
                  <c:v>-6514.0499999999993</c:v>
                </c:pt>
                <c:pt idx="88" formatCode="&quot;$&quot;#,##0.00_);[Red]\(&quot;$&quot;#,##0.00\)">
                  <c:v>-3239.44</c:v>
                </c:pt>
                <c:pt idx="99" formatCode="&quot;$&quot;#,##0.00_);[Red]\(&quot;$&quot;#,##0.00\)">
                  <c:v>-1425.23</c:v>
                </c:pt>
                <c:pt idx="104" formatCode="&quot;$&quot;#,##0.00_);[Red]\(&quot;$&quot;#,##0.00\)">
                  <c:v>-1238.17</c:v>
                </c:pt>
                <c:pt idx="107" formatCode="&quot;$&quot;#,##0.00_);[Red]\(&quot;$&quot;#,##0.00\)">
                  <c:v>-378</c:v>
                </c:pt>
                <c:pt idx="108" formatCode="&quot;$&quot;#,##0.00_);[Red]\(&quot;$&quot;#,##0.00\)">
                  <c:v>-1514.63</c:v>
                </c:pt>
                <c:pt idx="109" formatCode="&quot;$&quot;#,##0.00_);[Red]\(&quot;$&quot;#,##0.00\)">
                  <c:v>-1305.28</c:v>
                </c:pt>
                <c:pt idx="112" formatCode="&quot;$&quot;#,##0.00_);[Red]\(&quot;$&quot;#,##0.00\)">
                  <c:v>-2602.25</c:v>
                </c:pt>
                <c:pt idx="120" formatCode="&quot;$&quot;#,##0.00_);[Red]\(&quot;$&quot;#,##0.00\)">
                  <c:v>-3750.25</c:v>
                </c:pt>
                <c:pt idx="126" formatCode="&quot;$&quot;#,##0.00_);[Red]\(&quot;$&quot;#,##0.00\)">
                  <c:v>-1537.5</c:v>
                </c:pt>
                <c:pt idx="127" formatCode="&quot;$&quot;#,##0.00_);[Red]\(&quot;$&quot;#,##0.00\)">
                  <c:v>-7175.25</c:v>
                </c:pt>
                <c:pt idx="132" formatCode="&quot;$&quot;#,##0.00_);[Red]\(&quot;$&quot;#,##0.00\)">
                  <c:v>-387.5</c:v>
                </c:pt>
                <c:pt idx="135" formatCode="&quot;$&quot;#,##0.00_);[Red]\(&quot;$&quot;#,##0.00\)">
                  <c:v>-68.75</c:v>
                </c:pt>
                <c:pt idx="136" formatCode="&quot;$&quot;#,##0.00;[Red]&quot;$&quot;#,##0.00">
                  <c:v>0</c:v>
                </c:pt>
                <c:pt idx="137" formatCode="&quot;$&quot;#,##0.00;[Red]&quot;$&quot;#,##0.00">
                  <c:v>-9948.5</c:v>
                </c:pt>
                <c:pt idx="138" formatCode="&quot;$&quot;#,##0.00;[Red]&quot;$&quot;#,##0.00">
                  <c:v>0</c:v>
                </c:pt>
                <c:pt idx="139" formatCode="&quot;$&quot;#,##0.00;[Red]&quot;$&quot;#,##0.00">
                  <c:v>-6346.12</c:v>
                </c:pt>
                <c:pt idx="140" formatCode="&quot;$&quot;#,##0.00;[Red]&quot;$&quot;#,##0.00">
                  <c:v>0</c:v>
                </c:pt>
                <c:pt idx="141" formatCode="&quot;$&quot;#,##0.00;[Red]&quot;$&quot;#,##0.00">
                  <c:v>0</c:v>
                </c:pt>
                <c:pt idx="142" formatCode="&quot;$&quot;#,##0.00;[Red]&quot;$&quot;#,##0.00">
                  <c:v>0</c:v>
                </c:pt>
                <c:pt idx="143" formatCode="&quot;$&quot;#,##0.00;[Red]&quot;$&quot;#,##0.00">
                  <c:v>0</c:v>
                </c:pt>
                <c:pt idx="144" formatCode="&quot;$&quot;#,##0.00;[Red]&quot;$&quot;#,##0.00">
                  <c:v>0</c:v>
                </c:pt>
                <c:pt idx="145" formatCode="&quot;$&quot;#,##0.00;[Red]&quot;$&quot;#,##0.00">
                  <c:v>0</c:v>
                </c:pt>
                <c:pt idx="146" formatCode="&quot;$&quot;#,##0.00;[Red]&quot;$&quot;#,##0.00">
                  <c:v>0</c:v>
                </c:pt>
                <c:pt idx="147" formatCode="&quot;$&quot;#,##0.00;[Red]&quot;$&quot;#,##0.00">
                  <c:v>-3725.25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A-4E90-ADDC-F664E6F1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270160"/>
        <c:axId val="666266552"/>
      </c:barChart>
      <c:catAx>
        <c:axId val="666270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266552"/>
        <c:crosses val="autoZero"/>
        <c:auto val="1"/>
        <c:lblAlgn val="ctr"/>
        <c:lblOffset val="100"/>
        <c:noMultiLvlLbl val="0"/>
      </c:catAx>
      <c:valAx>
        <c:axId val="666266552"/>
        <c:scaling>
          <c:orientation val="minMax"/>
          <c:max val="25000"/>
          <c:min val="-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;[Red]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70160"/>
        <c:crosses val="autoZero"/>
        <c:crossBetween val="between"/>
        <c:majorUnit val="5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32871370161945"/>
          <c:y val="0.82378384208823208"/>
          <c:w val="0.40134257259676104"/>
          <c:h val="0.17621615791176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857249</xdr:colOff>
      <xdr:row>153</xdr:row>
      <xdr:rowOff>76201</xdr:rowOff>
    </xdr:from>
    <xdr:to>
      <xdr:col>22</xdr:col>
      <xdr:colOff>498475</xdr:colOff>
      <xdr:row>177</xdr:row>
      <xdr:rowOff>210945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AD8DFD-C3F2-4100-910B-555D04AAF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857249</xdr:colOff>
      <xdr:row>178</xdr:row>
      <xdr:rowOff>6350</xdr:rowOff>
    </xdr:from>
    <xdr:to>
      <xdr:col>22</xdr:col>
      <xdr:colOff>517525</xdr:colOff>
      <xdr:row>187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A38B5A-7947-4FFC-838D-47D1E60AD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0.09101</cdr:x>
      <cdr:y>0.0709</cdr:y>
    </cdr:from>
    <cdr:to>
      <cdr:x>0.97151</cdr:x>
      <cdr:y>0.21977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E3ADCB-6D5C-4AD8-8CB1-82953E145F75}"/>
            </a:ext>
          </a:extLst>
        </cdr:cNvPr>
        <cdr:cNvSpPr txBox="1"/>
      </cdr:nvSpPr>
      <cdr:spPr>
        <a:xfrm xmlns:a="http://schemas.openxmlformats.org/drawingml/2006/main">
          <a:off x="781050" y="376929"/>
          <a:ext cx="7556474" cy="79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Peter Knight</a:t>
          </a:r>
          <a:r>
            <a:rPr lang="en-US" sz="2000" baseline="0">
              <a:solidFill>
                <a:schemeClr val="bg1">
                  <a:lumMod val="85000"/>
                </a:schemeClr>
              </a:solidFill>
            </a:rPr>
            <a:t> Advisor</a:t>
          </a:r>
          <a:endParaRPr lang="en-US" sz="2000">
            <a:solidFill>
              <a:schemeClr val="bg1">
                <a:lumMod val="8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terknightadvisor.com/2018/12/05/sp-trend-no-collar/" TargetMode="External"/><Relationship Id="rId2" Type="http://schemas.openxmlformats.org/officeDocument/2006/relationships/hyperlink" Target="https://www.barchart.com/futures/quotes/ESM20/technical-chart?plot=CANDLE&amp;volume=0&amp;data=DN&amp;density=ML&amp;pricesOn=1&amp;asPctChange=0&amp;logscale=0&amp;indicators=EXPMA(9);BBANDS(20,2);EXPMA(4.5);EXPMA(18)&amp;sym=ESM20&amp;grid=1&amp;height=625&amp;studyheight=100" TargetMode="External"/><Relationship Id="rId1" Type="http://schemas.openxmlformats.org/officeDocument/2006/relationships/hyperlink" Target="https://peterknightadvisor.com/2018/11/18/sp-analysis-page-2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0"/>
  <sheetViews>
    <sheetView tabSelected="1" topLeftCell="A184" zoomScale="75" zoomScaleNormal="75" workbookViewId="0">
      <selection activeCell="I195" sqref="I195"/>
    </sheetView>
  </sheetViews>
  <sheetFormatPr defaultRowHeight="15.75" x14ac:dyDescent="0.25"/>
  <cols>
    <col min="1" max="1" width="1.85546875" customWidth="1"/>
    <col min="2" max="2" width="2.5703125" style="34" customWidth="1"/>
    <col min="3" max="3" width="3.140625" customWidth="1"/>
    <col min="4" max="4" width="11.28515625" style="8" customWidth="1"/>
    <col min="5" max="5" width="18.28515625" style="8" customWidth="1"/>
    <col min="6" max="6" width="15" style="8" customWidth="1"/>
    <col min="7" max="7" width="16" style="8" customWidth="1"/>
    <col min="8" max="8" width="18.28515625" style="53" hidden="1" customWidth="1"/>
    <col min="9" max="9" width="19.28515625" style="8" customWidth="1"/>
    <col min="10" max="10" width="0.140625" style="40" customWidth="1"/>
    <col min="11" max="11" width="16.28515625" style="8" customWidth="1"/>
    <col min="12" max="12" width="13.85546875" style="8" customWidth="1"/>
    <col min="13" max="13" width="18.28515625" style="5" customWidth="1"/>
    <col min="14" max="14" width="8.5703125" style="29" customWidth="1"/>
    <col min="15" max="15" width="18" style="32" customWidth="1"/>
    <col min="16" max="16" width="13" customWidth="1"/>
    <col min="17" max="17" width="25" style="2" customWidth="1"/>
    <col min="18" max="18" width="13" customWidth="1"/>
    <col min="19" max="19" width="14.85546875" customWidth="1"/>
    <col min="20" max="20" width="15.85546875" customWidth="1"/>
    <col min="21" max="21" width="14" customWidth="1"/>
    <col min="22" max="22" width="20.28515625" customWidth="1"/>
  </cols>
  <sheetData>
    <row r="1" spans="1:21" x14ac:dyDescent="0.25">
      <c r="B1" s="35"/>
      <c r="M1" s="2"/>
      <c r="O1" s="33"/>
      <c r="U1" t="s">
        <v>90</v>
      </c>
    </row>
    <row r="2" spans="1:21" ht="17.25" x14ac:dyDescent="0.3">
      <c r="A2" t="s">
        <v>13</v>
      </c>
      <c r="B2" s="35">
        <f>O120</f>
        <v>0</v>
      </c>
      <c r="D2" s="18" t="s">
        <v>0</v>
      </c>
      <c r="E2" s="18" t="s">
        <v>1</v>
      </c>
      <c r="F2" s="96" t="s">
        <v>7</v>
      </c>
      <c r="G2" s="18" t="s">
        <v>2</v>
      </c>
      <c r="H2" s="53" t="s">
        <v>3</v>
      </c>
      <c r="I2" s="18" t="s">
        <v>3</v>
      </c>
      <c r="J2" s="41"/>
      <c r="K2" s="18" t="s">
        <v>4</v>
      </c>
      <c r="L2" s="18" t="s">
        <v>5</v>
      </c>
      <c r="M2" s="30"/>
      <c r="N2" s="86"/>
      <c r="P2" s="18" t="s">
        <v>0</v>
      </c>
      <c r="Q2" s="95" t="s">
        <v>94</v>
      </c>
      <c r="R2" s="18" t="s">
        <v>0</v>
      </c>
      <c r="S2" s="95" t="s">
        <v>92</v>
      </c>
      <c r="T2" s="95" t="s">
        <v>93</v>
      </c>
    </row>
    <row r="3" spans="1:21" ht="17.25" x14ac:dyDescent="0.3">
      <c r="A3" t="s">
        <v>17</v>
      </c>
      <c r="B3" s="35">
        <f>B4*B12</f>
        <v>13635.63</v>
      </c>
      <c r="D3" s="18" t="s">
        <v>4</v>
      </c>
      <c r="E3" s="18" t="s">
        <v>6</v>
      </c>
      <c r="F3" s="96"/>
      <c r="G3" s="18" t="s">
        <v>8</v>
      </c>
      <c r="H3" s="53" t="s">
        <v>9</v>
      </c>
      <c r="I3" s="18" t="s">
        <v>9</v>
      </c>
      <c r="J3" s="41"/>
      <c r="K3" s="18" t="s">
        <v>6</v>
      </c>
      <c r="L3" s="18" t="s">
        <v>10</v>
      </c>
      <c r="M3" s="30"/>
      <c r="N3" s="86"/>
      <c r="P3" s="18"/>
      <c r="Q3" s="95"/>
      <c r="R3" s="18"/>
      <c r="S3" s="95"/>
      <c r="T3" s="95"/>
      <c r="U3" t="s">
        <v>91</v>
      </c>
    </row>
    <row r="4" spans="1:21" ht="18" customHeight="1" x14ac:dyDescent="0.3">
      <c r="A4" s="38" t="s">
        <v>72</v>
      </c>
      <c r="B4" s="39">
        <v>13635.63</v>
      </c>
      <c r="D4" s="31"/>
      <c r="E4" s="31"/>
      <c r="F4" s="31"/>
      <c r="G4" s="31"/>
      <c r="I4" s="31"/>
      <c r="J4" s="41"/>
      <c r="K4" s="31"/>
      <c r="L4" s="31"/>
      <c r="M4" s="30"/>
      <c r="N4" s="86"/>
      <c r="P4" s="20">
        <v>42897</v>
      </c>
      <c r="Q4" s="73">
        <f>U4</f>
        <v>4631.25</v>
      </c>
      <c r="R4" s="20">
        <v>42897</v>
      </c>
      <c r="S4" s="71">
        <f>U4</f>
        <v>4631.25</v>
      </c>
      <c r="U4" s="71">
        <f t="shared" ref="U4:U10" si="0">I5</f>
        <v>4631.25</v>
      </c>
    </row>
    <row r="5" spans="1:21" ht="17.25" x14ac:dyDescent="0.3">
      <c r="A5" s="38" t="s">
        <v>73</v>
      </c>
      <c r="B5" s="62">
        <f>B3/B11</f>
        <v>0.38958942857142853</v>
      </c>
      <c r="D5" s="20">
        <v>42897</v>
      </c>
      <c r="E5" s="21">
        <v>0</v>
      </c>
      <c r="F5" s="22">
        <v>50000</v>
      </c>
      <c r="G5" s="21">
        <v>0</v>
      </c>
      <c r="H5" s="54">
        <v>3087.5</v>
      </c>
      <c r="I5" s="21">
        <f>H5*B13</f>
        <v>4631.25</v>
      </c>
      <c r="J5" s="42">
        <f t="shared" ref="J5:J11" si="1">I5</f>
        <v>4631.25</v>
      </c>
      <c r="K5" s="21">
        <f>F5+I5</f>
        <v>54631.25</v>
      </c>
      <c r="L5" s="49">
        <f>I5/F5</f>
        <v>9.2624999999999999E-2</v>
      </c>
      <c r="M5" s="76"/>
      <c r="O5"/>
      <c r="P5" s="20">
        <v>42927</v>
      </c>
      <c r="Q5" s="74">
        <f t="shared" ref="Q5:Q36" si="2">U5+Q4</f>
        <v>2781.25</v>
      </c>
      <c r="R5" s="20">
        <v>42927</v>
      </c>
      <c r="T5" s="71">
        <f>U5</f>
        <v>-1850</v>
      </c>
      <c r="U5" s="71">
        <f t="shared" si="0"/>
        <v>-1850</v>
      </c>
    </row>
    <row r="6" spans="1:21" ht="17.25" x14ac:dyDescent="0.3">
      <c r="A6" t="s">
        <v>18</v>
      </c>
      <c r="B6" s="35">
        <f>B2/B3</f>
        <v>0</v>
      </c>
      <c r="D6" s="20">
        <v>42927</v>
      </c>
      <c r="E6" s="21">
        <f>I5+F5</f>
        <v>54631.25</v>
      </c>
      <c r="F6" s="21">
        <v>0</v>
      </c>
      <c r="G6" s="21">
        <v>0</v>
      </c>
      <c r="H6" s="54">
        <v>-1850</v>
      </c>
      <c r="I6" s="21">
        <f>H6*B12</f>
        <v>-1850</v>
      </c>
      <c r="J6" s="42">
        <f t="shared" si="1"/>
        <v>-1850</v>
      </c>
      <c r="K6" s="21">
        <f t="shared" ref="K6:K11" si="3">E6+I6</f>
        <v>52781.25</v>
      </c>
      <c r="L6" s="49">
        <f t="shared" ref="L6:L11" si="4">I6/E6</f>
        <v>-3.386340235670976E-2</v>
      </c>
      <c r="M6" s="76"/>
      <c r="O6"/>
      <c r="P6" s="20">
        <v>42958</v>
      </c>
      <c r="Q6" s="74">
        <f t="shared" si="2"/>
        <v>-5112.5</v>
      </c>
      <c r="R6" s="20">
        <v>42958</v>
      </c>
      <c r="T6" s="71">
        <f>U6</f>
        <v>-7893.75</v>
      </c>
      <c r="U6" s="71">
        <f t="shared" si="0"/>
        <v>-7893.75</v>
      </c>
    </row>
    <row r="7" spans="1:21" ht="17.25" x14ac:dyDescent="0.3">
      <c r="B7" s="35">
        <f>B3/1.15</f>
        <v>11857.069565217391</v>
      </c>
      <c r="D7" s="20">
        <v>42958</v>
      </c>
      <c r="E7" s="21">
        <f>E6+I6</f>
        <v>52781.25</v>
      </c>
      <c r="F7" s="21">
        <v>0</v>
      </c>
      <c r="G7" s="21">
        <v>0</v>
      </c>
      <c r="H7" s="54">
        <v>-5262.5</v>
      </c>
      <c r="I7" s="21">
        <f>H7*B13</f>
        <v>-7893.75</v>
      </c>
      <c r="J7" s="42">
        <f t="shared" si="1"/>
        <v>-7893.75</v>
      </c>
      <c r="K7" s="21">
        <f t="shared" si="3"/>
        <v>44887.5</v>
      </c>
      <c r="L7" s="49">
        <f t="shared" si="4"/>
        <v>-0.14955595026642984</v>
      </c>
      <c r="M7" s="76"/>
      <c r="O7"/>
      <c r="P7" s="20">
        <v>42989</v>
      </c>
      <c r="Q7" s="74">
        <f t="shared" si="2"/>
        <v>-1825</v>
      </c>
      <c r="R7" s="20">
        <v>42989</v>
      </c>
      <c r="S7" s="71">
        <f t="shared" ref="S7:S13" si="5">U7</f>
        <v>3287.5</v>
      </c>
      <c r="U7" s="71">
        <f t="shared" si="0"/>
        <v>3287.5</v>
      </c>
    </row>
    <row r="8" spans="1:21" ht="17.25" x14ac:dyDescent="0.3">
      <c r="A8" t="s">
        <v>14</v>
      </c>
      <c r="B8" s="35">
        <f>J202</f>
        <v>103</v>
      </c>
      <c r="D8" s="20">
        <v>42989</v>
      </c>
      <c r="E8" s="21">
        <f>E7+I7</f>
        <v>44887.5</v>
      </c>
      <c r="F8" s="21">
        <v>0</v>
      </c>
      <c r="G8" s="21">
        <v>0</v>
      </c>
      <c r="H8" s="54">
        <v>3287.5</v>
      </c>
      <c r="I8" s="21">
        <f>H8*B12</f>
        <v>3287.5</v>
      </c>
      <c r="J8" s="42">
        <f t="shared" si="1"/>
        <v>3287.5</v>
      </c>
      <c r="K8" s="21">
        <f>E8+I8</f>
        <v>48175</v>
      </c>
      <c r="L8" s="49">
        <f t="shared" si="4"/>
        <v>7.3238652186020603E-2</v>
      </c>
      <c r="M8" s="76"/>
      <c r="O8"/>
      <c r="P8" s="20">
        <v>43019</v>
      </c>
      <c r="Q8" s="74">
        <f t="shared" si="2"/>
        <v>11618.75</v>
      </c>
      <c r="R8" s="20">
        <v>43019</v>
      </c>
      <c r="S8" s="71">
        <f t="shared" si="5"/>
        <v>13443.75</v>
      </c>
      <c r="U8" s="71">
        <f t="shared" si="0"/>
        <v>13443.75</v>
      </c>
    </row>
    <row r="9" spans="1:21" ht="17.25" x14ac:dyDescent="0.3">
      <c r="A9" t="s">
        <v>69</v>
      </c>
      <c r="B9" s="35">
        <f>B8/12</f>
        <v>8.5833333333333339</v>
      </c>
      <c r="D9" s="20">
        <v>43019</v>
      </c>
      <c r="E9" s="21">
        <f>E8+I8</f>
        <v>48175</v>
      </c>
      <c r="F9" s="21">
        <v>0</v>
      </c>
      <c r="G9" s="21">
        <v>0</v>
      </c>
      <c r="H9" s="54">
        <v>8962.5</v>
      </c>
      <c r="I9" s="21">
        <f>H9*B13</f>
        <v>13443.75</v>
      </c>
      <c r="J9" s="42">
        <f t="shared" si="1"/>
        <v>13443.75</v>
      </c>
      <c r="K9" s="21">
        <f t="shared" si="3"/>
        <v>61618.75</v>
      </c>
      <c r="L9" s="49">
        <f t="shared" si="4"/>
        <v>0.27906071613907629</v>
      </c>
      <c r="M9" s="76"/>
      <c r="O9"/>
      <c r="P9" s="20">
        <v>43050</v>
      </c>
      <c r="Q9" s="74">
        <f t="shared" si="2"/>
        <v>17756.25</v>
      </c>
      <c r="R9" s="20">
        <v>43050</v>
      </c>
      <c r="S9" s="71">
        <f t="shared" si="5"/>
        <v>6137.5</v>
      </c>
      <c r="U9" s="71">
        <f t="shared" si="0"/>
        <v>6137.5</v>
      </c>
    </row>
    <row r="10" spans="1:21" ht="17.25" x14ac:dyDescent="0.3">
      <c r="B10" s="35"/>
      <c r="D10" s="20">
        <v>43050</v>
      </c>
      <c r="E10" s="21">
        <f>E9+I9</f>
        <v>61618.75</v>
      </c>
      <c r="F10" s="21">
        <v>0</v>
      </c>
      <c r="G10" s="21">
        <v>0</v>
      </c>
      <c r="H10" s="54">
        <v>6137.5</v>
      </c>
      <c r="I10" s="21">
        <f>H10*B12</f>
        <v>6137.5</v>
      </c>
      <c r="J10" s="42">
        <f t="shared" si="1"/>
        <v>6137.5</v>
      </c>
      <c r="K10" s="21">
        <f t="shared" si="3"/>
        <v>67756.25</v>
      </c>
      <c r="L10" s="49">
        <f t="shared" si="4"/>
        <v>9.9604422355208444E-2</v>
      </c>
      <c r="M10" s="76"/>
      <c r="O10"/>
      <c r="P10" s="20">
        <v>43080</v>
      </c>
      <c r="Q10" s="74">
        <f t="shared" si="2"/>
        <v>23325</v>
      </c>
      <c r="R10" s="20">
        <v>43080</v>
      </c>
      <c r="S10" s="71">
        <f t="shared" si="5"/>
        <v>5568.75</v>
      </c>
      <c r="U10" s="71">
        <f t="shared" si="0"/>
        <v>5568.75</v>
      </c>
    </row>
    <row r="11" spans="1:21" ht="17.25" x14ac:dyDescent="0.3">
      <c r="A11" t="s">
        <v>70</v>
      </c>
      <c r="B11" s="35">
        <v>35000</v>
      </c>
      <c r="D11" s="20">
        <v>43080</v>
      </c>
      <c r="E11" s="21">
        <f>E10+I10</f>
        <v>67756.25</v>
      </c>
      <c r="F11" s="21">
        <v>0</v>
      </c>
      <c r="G11" s="21">
        <v>0</v>
      </c>
      <c r="H11" s="54">
        <v>3712.5</v>
      </c>
      <c r="I11" s="21">
        <f>H11*B13</f>
        <v>5568.75</v>
      </c>
      <c r="J11" s="42">
        <f t="shared" si="1"/>
        <v>5568.75</v>
      </c>
      <c r="K11" s="21">
        <f t="shared" si="3"/>
        <v>73325</v>
      </c>
      <c r="L11" s="49">
        <f t="shared" si="4"/>
        <v>8.2187990037819389E-2</v>
      </c>
      <c r="M11" s="76"/>
      <c r="O11"/>
      <c r="P11" s="20">
        <v>42747</v>
      </c>
      <c r="Q11" s="74">
        <f t="shared" si="2"/>
        <v>27550</v>
      </c>
      <c r="R11" s="20">
        <v>42747</v>
      </c>
      <c r="S11" s="71">
        <f t="shared" si="5"/>
        <v>4225</v>
      </c>
      <c r="U11" s="71">
        <f t="shared" ref="U11:U22" si="6">I15</f>
        <v>4225</v>
      </c>
    </row>
    <row r="12" spans="1:21" ht="17.25" x14ac:dyDescent="0.3">
      <c r="B12" s="1">
        <v>1</v>
      </c>
      <c r="D12" s="19"/>
      <c r="E12" s="19"/>
      <c r="F12" s="19"/>
      <c r="G12" s="19"/>
      <c r="H12" s="55" t="s">
        <v>11</v>
      </c>
      <c r="I12" s="19" t="s">
        <v>11</v>
      </c>
      <c r="J12" s="43"/>
      <c r="K12" s="2"/>
      <c r="L12" s="19"/>
      <c r="M12" s="76"/>
      <c r="N12" s="29">
        <v>7</v>
      </c>
      <c r="O12"/>
      <c r="P12" s="20">
        <v>42778</v>
      </c>
      <c r="Q12" s="74">
        <f t="shared" si="2"/>
        <v>31187.5</v>
      </c>
      <c r="R12" s="20">
        <v>42778</v>
      </c>
      <c r="S12" s="71">
        <f t="shared" si="5"/>
        <v>3637.5</v>
      </c>
      <c r="U12" s="71">
        <f t="shared" si="6"/>
        <v>3637.5</v>
      </c>
    </row>
    <row r="13" spans="1:21" ht="17.25" x14ac:dyDescent="0.3">
      <c r="A13" t="s">
        <v>71</v>
      </c>
      <c r="B13" s="1">
        <v>1.5</v>
      </c>
      <c r="D13" s="19"/>
      <c r="E13" s="19"/>
      <c r="F13" s="19"/>
      <c r="G13" s="19"/>
      <c r="H13" s="54">
        <v>26500</v>
      </c>
      <c r="I13" s="22">
        <f>SUM(I5:I12)</f>
        <v>23325</v>
      </c>
      <c r="J13" s="44"/>
      <c r="K13" s="4"/>
      <c r="L13" s="51">
        <f>I13/B11</f>
        <v>0.66642857142857148</v>
      </c>
      <c r="M13" s="76">
        <f>I13</f>
        <v>23325</v>
      </c>
      <c r="O13"/>
      <c r="P13" s="20">
        <v>42806</v>
      </c>
      <c r="Q13" s="74">
        <f t="shared" si="2"/>
        <v>37112.5</v>
      </c>
      <c r="R13" s="20">
        <v>42806</v>
      </c>
      <c r="S13" s="71">
        <f t="shared" si="5"/>
        <v>5925</v>
      </c>
      <c r="U13" s="71">
        <f t="shared" si="6"/>
        <v>5925</v>
      </c>
    </row>
    <row r="14" spans="1:21" ht="17.25" x14ac:dyDescent="0.3">
      <c r="B14" s="35"/>
      <c r="D14" s="19"/>
      <c r="E14" s="19"/>
      <c r="F14" s="19"/>
      <c r="G14" s="19"/>
      <c r="H14" s="55"/>
      <c r="I14" s="19"/>
      <c r="J14" s="43"/>
      <c r="K14" s="2"/>
      <c r="L14" s="34"/>
      <c r="M14" s="76"/>
      <c r="O14"/>
      <c r="P14" s="20">
        <v>42837</v>
      </c>
      <c r="Q14" s="74">
        <f t="shared" si="2"/>
        <v>34037.5</v>
      </c>
      <c r="R14" s="20">
        <v>42837</v>
      </c>
      <c r="T14" s="71">
        <f>U14</f>
        <v>-3075</v>
      </c>
      <c r="U14" s="71">
        <f t="shared" si="6"/>
        <v>-3075</v>
      </c>
    </row>
    <row r="15" spans="1:21" ht="17.25" x14ac:dyDescent="0.3">
      <c r="A15" t="s">
        <v>13</v>
      </c>
      <c r="B15" s="35">
        <f>I202</f>
        <v>425569.93</v>
      </c>
      <c r="D15" s="20">
        <v>42747</v>
      </c>
      <c r="E15" s="21">
        <f>F5</f>
        <v>50000</v>
      </c>
      <c r="F15" s="21">
        <v>0</v>
      </c>
      <c r="G15" s="21">
        <f>-I13</f>
        <v>-23325</v>
      </c>
      <c r="H15" s="54">
        <v>4225</v>
      </c>
      <c r="I15" s="21">
        <f>H15*B12</f>
        <v>4225</v>
      </c>
      <c r="J15" s="42">
        <f t="shared" ref="J15:J26" si="7">I15</f>
        <v>4225</v>
      </c>
      <c r="K15" s="21">
        <f t="shared" ref="K15:K26" si="8">E15+I15</f>
        <v>54225</v>
      </c>
      <c r="L15" s="49">
        <f t="shared" ref="L15:L26" si="9">I15/E15</f>
        <v>8.4500000000000006E-2</v>
      </c>
      <c r="M15" s="76"/>
      <c r="O15"/>
      <c r="P15" s="20">
        <v>42867</v>
      </c>
      <c r="Q15" s="74">
        <f t="shared" si="2"/>
        <v>29362.5</v>
      </c>
      <c r="R15" s="20">
        <v>42867</v>
      </c>
      <c r="T15" s="71">
        <f>U15</f>
        <v>-4675</v>
      </c>
      <c r="U15" s="71">
        <f t="shared" si="6"/>
        <v>-4675</v>
      </c>
    </row>
    <row r="16" spans="1:21" ht="17.25" x14ac:dyDescent="0.3">
      <c r="A16" t="s">
        <v>15</v>
      </c>
      <c r="B16" s="35">
        <f>B15/B8</f>
        <v>4131.7468932038837</v>
      </c>
      <c r="D16" s="20">
        <v>42778</v>
      </c>
      <c r="E16" s="21">
        <f t="shared" ref="E16:E26" si="10">E15+I15</f>
        <v>54225</v>
      </c>
      <c r="F16" s="21">
        <v>0</v>
      </c>
      <c r="G16" s="21">
        <v>0</v>
      </c>
      <c r="H16" s="54">
        <v>2425</v>
      </c>
      <c r="I16" s="21">
        <f>H16*B13</f>
        <v>3637.5</v>
      </c>
      <c r="J16" s="42">
        <f t="shared" si="7"/>
        <v>3637.5</v>
      </c>
      <c r="K16" s="21">
        <f t="shared" si="8"/>
        <v>57862.5</v>
      </c>
      <c r="L16" s="49">
        <f t="shared" si="9"/>
        <v>6.7081604426002764E-2</v>
      </c>
      <c r="M16" s="76"/>
      <c r="O16"/>
      <c r="P16" s="20">
        <v>42898</v>
      </c>
      <c r="Q16" s="74">
        <f t="shared" si="2"/>
        <v>35287.5</v>
      </c>
      <c r="R16" s="20">
        <v>42898</v>
      </c>
      <c r="S16" s="71">
        <f>U16</f>
        <v>5925</v>
      </c>
      <c r="U16" s="71">
        <f t="shared" si="6"/>
        <v>5925</v>
      </c>
    </row>
    <row r="17" spans="1:21" ht="17.25" x14ac:dyDescent="0.3">
      <c r="A17" t="s">
        <v>16</v>
      </c>
      <c r="B17" s="35">
        <f>B16*12</f>
        <v>49580.962718446608</v>
      </c>
      <c r="D17" s="20">
        <v>42806</v>
      </c>
      <c r="E17" s="21">
        <f t="shared" si="10"/>
        <v>57862.5</v>
      </c>
      <c r="F17" s="21">
        <v>0</v>
      </c>
      <c r="G17" s="21">
        <v>0</v>
      </c>
      <c r="H17" s="54">
        <v>5925</v>
      </c>
      <c r="I17" s="21">
        <f>H17*B12</f>
        <v>5925</v>
      </c>
      <c r="J17" s="42">
        <f t="shared" si="7"/>
        <v>5925</v>
      </c>
      <c r="K17" s="21">
        <f t="shared" si="8"/>
        <v>63787.5</v>
      </c>
      <c r="L17" s="49">
        <f t="shared" si="9"/>
        <v>0.10239792611795204</v>
      </c>
      <c r="M17" s="76"/>
      <c r="O17"/>
      <c r="P17" s="20">
        <v>42928</v>
      </c>
      <c r="Q17" s="74">
        <f t="shared" si="2"/>
        <v>40837.5</v>
      </c>
      <c r="R17" s="20">
        <v>42928</v>
      </c>
      <c r="S17" s="71">
        <f>U17</f>
        <v>5550</v>
      </c>
      <c r="U17" s="71">
        <f t="shared" si="6"/>
        <v>5550</v>
      </c>
    </row>
    <row r="18" spans="1:21" ht="17.25" x14ac:dyDescent="0.3">
      <c r="A18" t="s">
        <v>19</v>
      </c>
      <c r="B18" s="36">
        <f>B17/B11</f>
        <v>1.4165989348127603</v>
      </c>
      <c r="D18" s="20">
        <v>42837</v>
      </c>
      <c r="E18" s="21">
        <f t="shared" si="10"/>
        <v>63787.5</v>
      </c>
      <c r="F18" s="21">
        <v>0</v>
      </c>
      <c r="G18" s="21">
        <v>0</v>
      </c>
      <c r="H18" s="54">
        <v>-2050</v>
      </c>
      <c r="I18" s="21">
        <f>H18*B13</f>
        <v>-3075</v>
      </c>
      <c r="J18" s="42">
        <f t="shared" si="7"/>
        <v>-3075</v>
      </c>
      <c r="K18" s="21">
        <f t="shared" si="8"/>
        <v>60712.5</v>
      </c>
      <c r="L18" s="49">
        <f t="shared" si="9"/>
        <v>-4.8206937095825984E-2</v>
      </c>
      <c r="M18" s="76"/>
      <c r="O18"/>
      <c r="P18" s="20">
        <v>42959</v>
      </c>
      <c r="Q18" s="74">
        <f t="shared" si="2"/>
        <v>36787.5</v>
      </c>
      <c r="R18" s="20">
        <v>42959</v>
      </c>
      <c r="T18" s="71">
        <f>U18</f>
        <v>-4050</v>
      </c>
      <c r="U18" s="71">
        <f t="shared" si="6"/>
        <v>-4050</v>
      </c>
    </row>
    <row r="19" spans="1:21" ht="17.25" x14ac:dyDescent="0.3">
      <c r="D19" s="20">
        <v>42867</v>
      </c>
      <c r="E19" s="21">
        <f t="shared" si="10"/>
        <v>60712.5</v>
      </c>
      <c r="F19" s="21">
        <v>0</v>
      </c>
      <c r="G19" s="21">
        <v>0</v>
      </c>
      <c r="H19" s="54">
        <v>-4675</v>
      </c>
      <c r="I19" s="21">
        <f>H19*B12</f>
        <v>-4675</v>
      </c>
      <c r="J19" s="42">
        <f t="shared" si="7"/>
        <v>-4675</v>
      </c>
      <c r="K19" s="21">
        <f t="shared" si="8"/>
        <v>56037.5</v>
      </c>
      <c r="L19" s="49">
        <f t="shared" si="9"/>
        <v>-7.7002264772493306E-2</v>
      </c>
      <c r="M19" s="76"/>
      <c r="O19"/>
      <c r="P19" s="20">
        <v>42990</v>
      </c>
      <c r="Q19" s="74">
        <f t="shared" si="2"/>
        <v>30425</v>
      </c>
      <c r="R19" s="20">
        <v>42990</v>
      </c>
      <c r="T19" s="71">
        <f>U19</f>
        <v>-6362.5</v>
      </c>
      <c r="U19" s="71">
        <f t="shared" si="6"/>
        <v>-6362.5</v>
      </c>
    </row>
    <row r="20" spans="1:21" ht="17.25" x14ac:dyDescent="0.3">
      <c r="A20">
        <v>2018</v>
      </c>
      <c r="B20" s="61">
        <f>I118</f>
        <v>47396.790000000008</v>
      </c>
      <c r="D20" s="20">
        <v>42898</v>
      </c>
      <c r="E20" s="21">
        <f t="shared" si="10"/>
        <v>56037.5</v>
      </c>
      <c r="F20" s="21">
        <v>0</v>
      </c>
      <c r="G20" s="21">
        <v>0</v>
      </c>
      <c r="H20" s="54">
        <v>3950</v>
      </c>
      <c r="I20" s="21">
        <f>H20*B13</f>
        <v>5925</v>
      </c>
      <c r="J20" s="42">
        <f t="shared" si="7"/>
        <v>5925</v>
      </c>
      <c r="K20" s="21">
        <f t="shared" si="8"/>
        <v>61962.5</v>
      </c>
      <c r="L20" s="49">
        <f t="shared" si="9"/>
        <v>0.10573276823555655</v>
      </c>
      <c r="M20" s="76"/>
      <c r="O20"/>
      <c r="P20" s="20">
        <v>43020</v>
      </c>
      <c r="Q20" s="74">
        <f t="shared" si="2"/>
        <v>30012.5</v>
      </c>
      <c r="R20" s="20">
        <v>43020</v>
      </c>
      <c r="T20" s="71">
        <f>U20</f>
        <v>-412.5</v>
      </c>
      <c r="U20" s="71">
        <f t="shared" si="6"/>
        <v>-412.5</v>
      </c>
    </row>
    <row r="21" spans="1:21" ht="17.25" x14ac:dyDescent="0.3">
      <c r="B21" s="36">
        <f>L118</f>
        <v>1.3541940000000003</v>
      </c>
      <c r="D21" s="20">
        <v>42928</v>
      </c>
      <c r="E21" s="21">
        <f t="shared" si="10"/>
        <v>61962.5</v>
      </c>
      <c r="F21" s="21">
        <v>0</v>
      </c>
      <c r="G21" s="21">
        <v>0</v>
      </c>
      <c r="H21" s="54">
        <v>5550</v>
      </c>
      <c r="I21" s="21">
        <f>H21*B12</f>
        <v>5550</v>
      </c>
      <c r="J21" s="42">
        <f t="shared" si="7"/>
        <v>5550</v>
      </c>
      <c r="K21" s="21">
        <f t="shared" si="8"/>
        <v>67512.5</v>
      </c>
      <c r="L21" s="49">
        <f t="shared" si="9"/>
        <v>8.9570304619729674E-2</v>
      </c>
      <c r="M21" s="76"/>
      <c r="O21"/>
      <c r="P21" s="20">
        <v>43051</v>
      </c>
      <c r="Q21" s="74">
        <f t="shared" si="2"/>
        <v>35675</v>
      </c>
      <c r="R21" s="20">
        <v>43051</v>
      </c>
      <c r="S21" s="71">
        <f>U21</f>
        <v>5662.5</v>
      </c>
      <c r="U21" s="71">
        <f t="shared" si="6"/>
        <v>5662.5</v>
      </c>
    </row>
    <row r="22" spans="1:21" ht="17.25" x14ac:dyDescent="0.3">
      <c r="D22" s="20">
        <v>42959</v>
      </c>
      <c r="E22" s="21">
        <f t="shared" si="10"/>
        <v>67512.5</v>
      </c>
      <c r="F22" s="21">
        <v>0</v>
      </c>
      <c r="G22" s="21">
        <v>0</v>
      </c>
      <c r="H22" s="54">
        <v>-2700</v>
      </c>
      <c r="I22" s="21">
        <f>H22*B13</f>
        <v>-4050</v>
      </c>
      <c r="J22" s="42">
        <f t="shared" si="7"/>
        <v>-4050</v>
      </c>
      <c r="K22" s="21">
        <f t="shared" si="8"/>
        <v>63462.5</v>
      </c>
      <c r="L22" s="49">
        <f t="shared" si="9"/>
        <v>-5.9988890946121087E-2</v>
      </c>
      <c r="M22" s="76"/>
      <c r="O22"/>
      <c r="P22" s="20">
        <v>43081</v>
      </c>
      <c r="Q22" s="74">
        <f t="shared" si="2"/>
        <v>34687.5</v>
      </c>
      <c r="R22" s="20">
        <v>43081</v>
      </c>
      <c r="T22" s="71">
        <f>U22</f>
        <v>-987.5</v>
      </c>
      <c r="U22" s="71">
        <f t="shared" si="6"/>
        <v>-987.5</v>
      </c>
    </row>
    <row r="23" spans="1:21" ht="17.25" x14ac:dyDescent="0.3">
      <c r="D23" s="20">
        <v>42990</v>
      </c>
      <c r="E23" s="21">
        <f t="shared" si="10"/>
        <v>63462.5</v>
      </c>
      <c r="F23" s="21">
        <v>0</v>
      </c>
      <c r="G23" s="21">
        <v>0</v>
      </c>
      <c r="H23" s="54">
        <v>-6362.5</v>
      </c>
      <c r="I23" s="21">
        <f>H23*B12</f>
        <v>-6362.5</v>
      </c>
      <c r="J23" s="42">
        <f t="shared" si="7"/>
        <v>-6362.5</v>
      </c>
      <c r="K23" s="21">
        <f t="shared" si="8"/>
        <v>57100</v>
      </c>
      <c r="L23" s="49">
        <f t="shared" si="9"/>
        <v>-0.10025605672641323</v>
      </c>
      <c r="M23" s="76"/>
      <c r="O23"/>
      <c r="P23" s="20">
        <v>42748</v>
      </c>
      <c r="Q23" s="74">
        <f t="shared" si="2"/>
        <v>31556.25</v>
      </c>
      <c r="R23" s="20">
        <v>42748</v>
      </c>
      <c r="T23" s="71">
        <f>U23</f>
        <v>-3131.25</v>
      </c>
      <c r="U23" s="71">
        <f t="shared" ref="U23:U34" si="11">I30</f>
        <v>-3131.25</v>
      </c>
    </row>
    <row r="24" spans="1:21" ht="17.25" x14ac:dyDescent="0.3">
      <c r="D24" s="20">
        <v>43020</v>
      </c>
      <c r="E24" s="21">
        <f t="shared" si="10"/>
        <v>57100</v>
      </c>
      <c r="F24" s="21">
        <v>0</v>
      </c>
      <c r="G24" s="21">
        <v>0</v>
      </c>
      <c r="H24" s="54">
        <v>-275</v>
      </c>
      <c r="I24" s="21">
        <f>H24*B13</f>
        <v>-412.5</v>
      </c>
      <c r="J24" s="42">
        <f t="shared" si="7"/>
        <v>-412.5</v>
      </c>
      <c r="K24" s="21">
        <f t="shared" si="8"/>
        <v>56687.5</v>
      </c>
      <c r="L24" s="49">
        <f t="shared" si="9"/>
        <v>-7.224168126094571E-3</v>
      </c>
      <c r="M24" s="76"/>
      <c r="O24"/>
      <c r="P24" s="20">
        <v>42779</v>
      </c>
      <c r="Q24" s="74">
        <f t="shared" si="2"/>
        <v>33043.75</v>
      </c>
      <c r="R24" s="20">
        <v>42779</v>
      </c>
      <c r="S24" s="71">
        <f>U24</f>
        <v>1487.5</v>
      </c>
      <c r="U24" s="71">
        <f t="shared" si="11"/>
        <v>1487.5</v>
      </c>
    </row>
    <row r="25" spans="1:21" ht="17.25" x14ac:dyDescent="0.3">
      <c r="D25" s="20">
        <v>43051</v>
      </c>
      <c r="E25" s="21">
        <f t="shared" si="10"/>
        <v>56687.5</v>
      </c>
      <c r="F25" s="21">
        <v>0</v>
      </c>
      <c r="G25" s="21">
        <v>0</v>
      </c>
      <c r="H25" s="54">
        <v>3775</v>
      </c>
      <c r="I25" s="21">
        <f>H25*B13</f>
        <v>5662.5</v>
      </c>
      <c r="J25" s="42"/>
      <c r="K25" s="21">
        <f t="shared" si="8"/>
        <v>62350</v>
      </c>
      <c r="L25" s="49">
        <f t="shared" si="9"/>
        <v>9.9889746416758546E-2</v>
      </c>
      <c r="M25" s="76"/>
      <c r="O25"/>
      <c r="P25" s="20">
        <v>42807</v>
      </c>
      <c r="Q25" s="74">
        <f t="shared" si="2"/>
        <v>27828.25</v>
      </c>
      <c r="R25" s="20">
        <v>42807</v>
      </c>
      <c r="T25" s="71">
        <f>U25</f>
        <v>-5215.5</v>
      </c>
      <c r="U25" s="71">
        <f t="shared" si="11"/>
        <v>-5215.5</v>
      </c>
    </row>
    <row r="26" spans="1:21" ht="17.25" x14ac:dyDescent="0.3">
      <c r="D26" s="20">
        <v>43081</v>
      </c>
      <c r="E26" s="21">
        <f t="shared" si="10"/>
        <v>62350</v>
      </c>
      <c r="F26" s="21">
        <v>0</v>
      </c>
      <c r="G26" s="21">
        <v>0</v>
      </c>
      <c r="H26" s="54">
        <v>-987.5</v>
      </c>
      <c r="I26" s="21">
        <f>H26*B12</f>
        <v>-987.5</v>
      </c>
      <c r="J26" s="42">
        <f t="shared" si="7"/>
        <v>-987.5</v>
      </c>
      <c r="K26" s="21">
        <f t="shared" si="8"/>
        <v>61362.5</v>
      </c>
      <c r="L26" s="49">
        <f t="shared" si="9"/>
        <v>-1.5838011226944667E-2</v>
      </c>
      <c r="M26" s="76"/>
      <c r="N26" s="29">
        <v>12</v>
      </c>
      <c r="O26"/>
      <c r="P26" s="20">
        <v>42838</v>
      </c>
      <c r="Q26" s="74">
        <f t="shared" si="2"/>
        <v>35628.25</v>
      </c>
      <c r="R26" s="20">
        <v>42838</v>
      </c>
      <c r="S26" s="71">
        <f>U26</f>
        <v>7800</v>
      </c>
      <c r="U26" s="71">
        <f t="shared" si="11"/>
        <v>7800</v>
      </c>
    </row>
    <row r="27" spans="1:21" ht="17.25" x14ac:dyDescent="0.3">
      <c r="D27" s="19"/>
      <c r="E27" s="19"/>
      <c r="F27" s="19"/>
      <c r="G27" s="19"/>
      <c r="H27" s="55" t="s">
        <v>11</v>
      </c>
      <c r="I27" s="19" t="s">
        <v>11</v>
      </c>
      <c r="K27" s="19"/>
      <c r="L27" s="50"/>
      <c r="M27" s="76"/>
      <c r="O27"/>
      <c r="P27" s="20">
        <v>42868</v>
      </c>
      <c r="Q27" s="74">
        <f t="shared" si="2"/>
        <v>43728.25</v>
      </c>
      <c r="R27" s="20">
        <v>42868</v>
      </c>
      <c r="S27" s="71">
        <f>U27</f>
        <v>8100</v>
      </c>
      <c r="U27" s="71">
        <f t="shared" si="11"/>
        <v>8100</v>
      </c>
    </row>
    <row r="28" spans="1:21" ht="17.25" x14ac:dyDescent="0.3">
      <c r="D28" s="19"/>
      <c r="E28" s="19"/>
      <c r="F28" s="19"/>
      <c r="G28" s="19"/>
      <c r="H28" s="54">
        <v>900</v>
      </c>
      <c r="I28" s="22">
        <f>SUM(I15:I27)</f>
        <v>11362.5</v>
      </c>
      <c r="J28" s="42"/>
      <c r="K28" s="23"/>
      <c r="L28" s="51">
        <f>I28/B11</f>
        <v>0.32464285714285712</v>
      </c>
      <c r="M28" s="76">
        <f>I28</f>
        <v>11362.5</v>
      </c>
      <c r="O28"/>
      <c r="P28" s="20">
        <v>42899</v>
      </c>
      <c r="Q28" s="74">
        <f t="shared" si="2"/>
        <v>40178.25</v>
      </c>
      <c r="R28" s="20">
        <v>42899</v>
      </c>
      <c r="T28" s="71">
        <f>U28</f>
        <v>-3550</v>
      </c>
      <c r="U28" s="71">
        <f t="shared" si="11"/>
        <v>-3550</v>
      </c>
    </row>
    <row r="29" spans="1:21" ht="17.25" x14ac:dyDescent="0.3">
      <c r="D29" s="19"/>
      <c r="E29" s="19"/>
      <c r="F29" s="19"/>
      <c r="G29" s="19"/>
      <c r="H29" s="55"/>
      <c r="I29" s="19"/>
      <c r="K29" s="19"/>
      <c r="L29" s="19"/>
      <c r="M29" s="76"/>
      <c r="O29"/>
      <c r="P29" s="20">
        <v>42929</v>
      </c>
      <c r="Q29" s="74">
        <f t="shared" si="2"/>
        <v>44865.75</v>
      </c>
      <c r="R29" s="20">
        <v>42929</v>
      </c>
      <c r="S29" s="71">
        <f>U29</f>
        <v>4687.5</v>
      </c>
      <c r="U29" s="71">
        <f t="shared" si="11"/>
        <v>4687.5</v>
      </c>
    </row>
    <row r="30" spans="1:21" ht="17.25" x14ac:dyDescent="0.3">
      <c r="D30" s="20">
        <v>42748</v>
      </c>
      <c r="E30" s="21">
        <f>E15</f>
        <v>50000</v>
      </c>
      <c r="F30" s="21">
        <v>0</v>
      </c>
      <c r="G30" s="21">
        <f>-I28</f>
        <v>-11362.5</v>
      </c>
      <c r="H30" s="54">
        <v>-2087.5</v>
      </c>
      <c r="I30" s="21">
        <f>H30*B13</f>
        <v>-3131.25</v>
      </c>
      <c r="J30" s="42">
        <f t="shared" ref="J30:J41" si="12">I30</f>
        <v>-3131.25</v>
      </c>
      <c r="K30" s="21">
        <f t="shared" ref="K30:K41" si="13">E30+I30</f>
        <v>46868.75</v>
      </c>
      <c r="L30" s="49">
        <f t="shared" ref="L30:L41" si="14">I30/E30</f>
        <v>-6.2625E-2</v>
      </c>
      <c r="M30" s="76"/>
      <c r="O30"/>
      <c r="P30" s="20">
        <v>42960</v>
      </c>
      <c r="Q30" s="74">
        <f t="shared" si="2"/>
        <v>42153.25</v>
      </c>
      <c r="R30" s="20">
        <v>42960</v>
      </c>
      <c r="T30" s="71">
        <f>U30</f>
        <v>-2712.5</v>
      </c>
      <c r="U30" s="71">
        <f t="shared" si="11"/>
        <v>-2712.5</v>
      </c>
    </row>
    <row r="31" spans="1:21" ht="17.25" x14ac:dyDescent="0.3">
      <c r="D31" s="20">
        <v>42779</v>
      </c>
      <c r="E31" s="21">
        <f t="shared" ref="E31:E41" si="15">E30+I30</f>
        <v>46868.75</v>
      </c>
      <c r="F31" s="21">
        <v>0</v>
      </c>
      <c r="G31" s="21">
        <v>0</v>
      </c>
      <c r="H31" s="54">
        <v>1487.5</v>
      </c>
      <c r="I31" s="21">
        <f>H31*B12</f>
        <v>1487.5</v>
      </c>
      <c r="J31" s="42">
        <f t="shared" si="12"/>
        <v>1487.5</v>
      </c>
      <c r="K31" s="21">
        <f t="shared" si="13"/>
        <v>48356.25</v>
      </c>
      <c r="L31" s="49">
        <f t="shared" si="14"/>
        <v>3.1737565008667826E-2</v>
      </c>
      <c r="M31" s="76"/>
      <c r="O31"/>
      <c r="P31" s="20">
        <v>42991</v>
      </c>
      <c r="Q31" s="74">
        <f t="shared" si="2"/>
        <v>46765.75</v>
      </c>
      <c r="R31" s="20">
        <v>42991</v>
      </c>
      <c r="S31" s="71">
        <f>U31</f>
        <v>4612.5</v>
      </c>
      <c r="U31" s="71">
        <f t="shared" si="11"/>
        <v>4612.5</v>
      </c>
    </row>
    <row r="32" spans="1:21" ht="17.25" x14ac:dyDescent="0.3">
      <c r="D32" s="20">
        <v>42807</v>
      </c>
      <c r="E32" s="21">
        <f t="shared" si="15"/>
        <v>48356.25</v>
      </c>
      <c r="F32" s="21">
        <v>0</v>
      </c>
      <c r="G32" s="21">
        <v>0</v>
      </c>
      <c r="H32" s="54">
        <v>-3477</v>
      </c>
      <c r="I32" s="21">
        <f>H32*B13</f>
        <v>-5215.5</v>
      </c>
      <c r="J32" s="42">
        <f t="shared" si="12"/>
        <v>-5215.5</v>
      </c>
      <c r="K32" s="21">
        <f t="shared" si="13"/>
        <v>43140.75</v>
      </c>
      <c r="L32" s="49">
        <f t="shared" si="14"/>
        <v>-0.10785575804575417</v>
      </c>
      <c r="M32" s="76"/>
      <c r="O32"/>
      <c r="P32" s="20">
        <v>43021</v>
      </c>
      <c r="Q32" s="74">
        <f t="shared" si="2"/>
        <v>50003.25</v>
      </c>
      <c r="R32" s="20">
        <v>43021</v>
      </c>
      <c r="S32" s="71">
        <f>U32</f>
        <v>3237.5</v>
      </c>
      <c r="U32" s="71">
        <f t="shared" si="11"/>
        <v>3237.5</v>
      </c>
    </row>
    <row r="33" spans="4:21" ht="17.25" x14ac:dyDescent="0.3">
      <c r="D33" s="20">
        <v>42838</v>
      </c>
      <c r="E33" s="21">
        <f t="shared" si="15"/>
        <v>43140.75</v>
      </c>
      <c r="F33" s="21">
        <v>0</v>
      </c>
      <c r="G33" s="21">
        <v>0</v>
      </c>
      <c r="H33" s="54">
        <v>7800</v>
      </c>
      <c r="I33" s="21">
        <f>H33*B12</f>
        <v>7800</v>
      </c>
      <c r="J33" s="42">
        <f t="shared" si="12"/>
        <v>7800</v>
      </c>
      <c r="K33" s="21">
        <f t="shared" si="13"/>
        <v>50940.75</v>
      </c>
      <c r="L33" s="49">
        <f t="shared" si="14"/>
        <v>0.18080353262286816</v>
      </c>
      <c r="M33" s="76"/>
      <c r="O33"/>
      <c r="P33" s="20">
        <v>43052</v>
      </c>
      <c r="Q33" s="74">
        <f t="shared" si="2"/>
        <v>44940.75</v>
      </c>
      <c r="R33" s="20">
        <v>43052</v>
      </c>
      <c r="T33" s="71">
        <f>U33</f>
        <v>-5062.5</v>
      </c>
      <c r="U33" s="71">
        <f t="shared" si="11"/>
        <v>-5062.5</v>
      </c>
    </row>
    <row r="34" spans="4:21" ht="17.25" x14ac:dyDescent="0.3">
      <c r="D34" s="20">
        <v>42868</v>
      </c>
      <c r="E34" s="21">
        <f t="shared" si="15"/>
        <v>50940.75</v>
      </c>
      <c r="F34" s="21">
        <v>0</v>
      </c>
      <c r="G34" s="21">
        <v>0</v>
      </c>
      <c r="H34" s="54">
        <v>5400</v>
      </c>
      <c r="I34" s="21">
        <f>H34*B13</f>
        <v>8100</v>
      </c>
      <c r="J34" s="42">
        <f t="shared" si="12"/>
        <v>8100</v>
      </c>
      <c r="K34" s="21">
        <f t="shared" si="13"/>
        <v>59040.75</v>
      </c>
      <c r="L34" s="49">
        <f t="shared" si="14"/>
        <v>0.15900825959570677</v>
      </c>
      <c r="M34" s="76"/>
      <c r="O34"/>
      <c r="P34" s="20">
        <v>43082</v>
      </c>
      <c r="Q34" s="74">
        <f t="shared" si="2"/>
        <v>47790.75</v>
      </c>
      <c r="R34" s="20">
        <v>43082</v>
      </c>
      <c r="S34" s="71">
        <f>U34</f>
        <v>2850</v>
      </c>
      <c r="U34" s="71">
        <f t="shared" si="11"/>
        <v>2850</v>
      </c>
    </row>
    <row r="35" spans="4:21" ht="17.25" x14ac:dyDescent="0.3">
      <c r="D35" s="20">
        <v>42899</v>
      </c>
      <c r="E35" s="21">
        <f t="shared" si="15"/>
        <v>59040.75</v>
      </c>
      <c r="F35" s="21">
        <v>0</v>
      </c>
      <c r="G35" s="21">
        <v>0</v>
      </c>
      <c r="H35" s="54">
        <v>-3550</v>
      </c>
      <c r="I35" s="21">
        <f>H35*B12</f>
        <v>-3550</v>
      </c>
      <c r="J35" s="42">
        <f t="shared" si="12"/>
        <v>-3550</v>
      </c>
      <c r="K35" s="21">
        <f t="shared" si="13"/>
        <v>55490.75</v>
      </c>
      <c r="L35" s="49">
        <f t="shared" si="14"/>
        <v>-6.0127962466601459E-2</v>
      </c>
      <c r="M35" s="76"/>
      <c r="O35"/>
      <c r="P35" s="20">
        <v>42749</v>
      </c>
      <c r="Q35" s="74">
        <f t="shared" si="2"/>
        <v>45240.75</v>
      </c>
      <c r="R35" s="20">
        <v>42749</v>
      </c>
      <c r="T35" s="71">
        <f>U35</f>
        <v>-2550</v>
      </c>
      <c r="U35" s="71">
        <f t="shared" ref="U35:U46" si="16">I45</f>
        <v>-2550</v>
      </c>
    </row>
    <row r="36" spans="4:21" ht="17.25" x14ac:dyDescent="0.3">
      <c r="D36" s="20">
        <v>42929</v>
      </c>
      <c r="E36" s="21">
        <f t="shared" si="15"/>
        <v>55490.75</v>
      </c>
      <c r="F36" s="21">
        <v>0</v>
      </c>
      <c r="G36" s="21">
        <v>0</v>
      </c>
      <c r="H36" s="54">
        <v>3125</v>
      </c>
      <c r="I36" s="21">
        <f>H36*B13</f>
        <v>4687.5</v>
      </c>
      <c r="J36" s="42">
        <f t="shared" si="12"/>
        <v>4687.5</v>
      </c>
      <c r="K36" s="21">
        <f t="shared" si="13"/>
        <v>60178.25</v>
      </c>
      <c r="L36" s="49">
        <f t="shared" si="14"/>
        <v>8.4473538382523208E-2</v>
      </c>
      <c r="M36" s="76"/>
      <c r="O36"/>
      <c r="P36" s="20">
        <v>42780</v>
      </c>
      <c r="Q36" s="74">
        <f t="shared" si="2"/>
        <v>58528.25</v>
      </c>
      <c r="R36" s="20">
        <v>42780</v>
      </c>
      <c r="S36" s="71">
        <f>U36</f>
        <v>13287.5</v>
      </c>
      <c r="U36" s="71">
        <f t="shared" si="16"/>
        <v>13287.5</v>
      </c>
    </row>
    <row r="37" spans="4:21" ht="17.25" x14ac:dyDescent="0.3">
      <c r="D37" s="20">
        <v>42960</v>
      </c>
      <c r="E37" s="21">
        <f t="shared" si="15"/>
        <v>60178.25</v>
      </c>
      <c r="F37" s="21">
        <v>0</v>
      </c>
      <c r="G37" s="21">
        <v>0</v>
      </c>
      <c r="H37" s="54">
        <v>-2712.5</v>
      </c>
      <c r="I37" s="21">
        <f>H37*B12</f>
        <v>-2712.5</v>
      </c>
      <c r="J37" s="42">
        <f t="shared" si="12"/>
        <v>-2712.5</v>
      </c>
      <c r="K37" s="21">
        <f t="shared" si="13"/>
        <v>57465.75</v>
      </c>
      <c r="L37" s="49">
        <f t="shared" si="14"/>
        <v>-4.5074424729865024E-2</v>
      </c>
      <c r="M37" s="76"/>
      <c r="O37"/>
      <c r="P37" s="20">
        <v>42808</v>
      </c>
      <c r="Q37" s="74">
        <f t="shared" ref="Q37:Q68" si="17">U37+Q36</f>
        <v>58472</v>
      </c>
      <c r="R37" s="20">
        <v>42808</v>
      </c>
      <c r="T37" s="71">
        <f>U37</f>
        <v>-56.25</v>
      </c>
      <c r="U37" s="71">
        <f t="shared" si="16"/>
        <v>-56.25</v>
      </c>
    </row>
    <row r="38" spans="4:21" ht="17.25" x14ac:dyDescent="0.3">
      <c r="D38" s="20">
        <v>42991</v>
      </c>
      <c r="E38" s="21">
        <f t="shared" si="15"/>
        <v>57465.75</v>
      </c>
      <c r="F38" s="21">
        <v>0</v>
      </c>
      <c r="G38" s="21">
        <v>0</v>
      </c>
      <c r="H38" s="54">
        <v>3075</v>
      </c>
      <c r="I38" s="21">
        <f>H38*B13</f>
        <v>4612.5</v>
      </c>
      <c r="J38" s="42">
        <f t="shared" si="12"/>
        <v>4612.5</v>
      </c>
      <c r="K38" s="21">
        <f t="shared" si="13"/>
        <v>62078.25</v>
      </c>
      <c r="L38" s="49">
        <f t="shared" si="14"/>
        <v>8.0265201446078752E-2</v>
      </c>
      <c r="M38" s="76"/>
      <c r="O38"/>
      <c r="P38" s="20">
        <v>42839</v>
      </c>
      <c r="Q38" s="74">
        <f t="shared" si="17"/>
        <v>66297</v>
      </c>
      <c r="R38" s="20">
        <v>42839</v>
      </c>
      <c r="S38" s="71">
        <f>U38</f>
        <v>7825</v>
      </c>
      <c r="U38" s="71">
        <f t="shared" si="16"/>
        <v>7825</v>
      </c>
    </row>
    <row r="39" spans="4:21" ht="17.25" x14ac:dyDescent="0.3">
      <c r="D39" s="20">
        <v>43021</v>
      </c>
      <c r="E39" s="21">
        <f t="shared" si="15"/>
        <v>62078.25</v>
      </c>
      <c r="F39" s="21">
        <v>0</v>
      </c>
      <c r="G39" s="21">
        <v>0</v>
      </c>
      <c r="H39" s="54">
        <v>3237.5</v>
      </c>
      <c r="I39" s="21">
        <f>H39*B12</f>
        <v>3237.5</v>
      </c>
      <c r="J39" s="42">
        <f t="shared" si="12"/>
        <v>3237.5</v>
      </c>
      <c r="K39" s="21">
        <f t="shared" si="13"/>
        <v>65315.75</v>
      </c>
      <c r="L39" s="49">
        <f t="shared" si="14"/>
        <v>5.2151921164014771E-2</v>
      </c>
      <c r="M39" s="76"/>
      <c r="O39"/>
      <c r="P39" s="20">
        <v>42869</v>
      </c>
      <c r="Q39" s="74">
        <f t="shared" si="17"/>
        <v>72372</v>
      </c>
      <c r="R39" s="20">
        <v>42869</v>
      </c>
      <c r="S39" s="71">
        <f>U39</f>
        <v>6075</v>
      </c>
      <c r="U39" s="71">
        <f t="shared" si="16"/>
        <v>6075</v>
      </c>
    </row>
    <row r="40" spans="4:21" ht="17.25" x14ac:dyDescent="0.3">
      <c r="D40" s="20">
        <v>43052</v>
      </c>
      <c r="E40" s="21">
        <f t="shared" si="15"/>
        <v>65315.75</v>
      </c>
      <c r="F40" s="21">
        <v>0</v>
      </c>
      <c r="G40" s="21">
        <v>0</v>
      </c>
      <c r="H40" s="54">
        <v>-3375</v>
      </c>
      <c r="I40" s="21">
        <f>H40*B13</f>
        <v>-5062.5</v>
      </c>
      <c r="J40" s="42">
        <f t="shared" si="12"/>
        <v>-5062.5</v>
      </c>
      <c r="K40" s="21">
        <f t="shared" si="13"/>
        <v>60253.25</v>
      </c>
      <c r="L40" s="49">
        <f t="shared" si="14"/>
        <v>-7.7508104859853863E-2</v>
      </c>
      <c r="M40" s="76"/>
      <c r="O40"/>
      <c r="P40" s="20">
        <v>42900</v>
      </c>
      <c r="Q40" s="74">
        <f t="shared" si="17"/>
        <v>72397</v>
      </c>
      <c r="R40" s="20">
        <v>42900</v>
      </c>
      <c r="S40" s="71">
        <f>U40</f>
        <v>25</v>
      </c>
      <c r="U40" s="71">
        <f t="shared" si="16"/>
        <v>25</v>
      </c>
    </row>
    <row r="41" spans="4:21" ht="17.25" x14ac:dyDescent="0.3">
      <c r="D41" s="20">
        <v>43082</v>
      </c>
      <c r="E41" s="21">
        <f t="shared" si="15"/>
        <v>60253.25</v>
      </c>
      <c r="F41" s="21">
        <v>0</v>
      </c>
      <c r="G41" s="21">
        <v>0</v>
      </c>
      <c r="H41" s="54">
        <v>2850</v>
      </c>
      <c r="I41" s="21">
        <f>H41*B12</f>
        <v>2850</v>
      </c>
      <c r="J41" s="42">
        <f t="shared" si="12"/>
        <v>2850</v>
      </c>
      <c r="K41" s="21">
        <f t="shared" si="13"/>
        <v>63103.25</v>
      </c>
      <c r="L41" s="49">
        <f t="shared" si="14"/>
        <v>4.7300353092986684E-2</v>
      </c>
      <c r="M41" s="76"/>
      <c r="N41" s="29">
        <v>12</v>
      </c>
      <c r="O41"/>
      <c r="P41" s="20">
        <v>42930</v>
      </c>
      <c r="Q41" s="74">
        <f t="shared" si="17"/>
        <v>71028.25</v>
      </c>
      <c r="R41" s="20">
        <v>42930</v>
      </c>
      <c r="T41" s="71">
        <f>U41</f>
        <v>-1368.75</v>
      </c>
      <c r="U41" s="71">
        <f t="shared" si="16"/>
        <v>-1368.75</v>
      </c>
    </row>
    <row r="42" spans="4:21" ht="17.25" x14ac:dyDescent="0.3">
      <c r="D42" s="19"/>
      <c r="E42" s="19"/>
      <c r="F42" s="19"/>
      <c r="G42" s="19"/>
      <c r="H42" s="55" t="s">
        <v>11</v>
      </c>
      <c r="I42" s="19" t="s">
        <v>11</v>
      </c>
      <c r="K42" s="19"/>
      <c r="L42" s="19" t="s">
        <v>11</v>
      </c>
      <c r="M42" s="76"/>
      <c r="O42"/>
      <c r="P42" s="20">
        <v>42961</v>
      </c>
      <c r="Q42" s="74">
        <f t="shared" si="17"/>
        <v>75403.25</v>
      </c>
      <c r="R42" s="20">
        <v>42961</v>
      </c>
      <c r="S42" s="71">
        <f t="shared" ref="S42:S49" si="18">U42</f>
        <v>4375</v>
      </c>
      <c r="U42" s="71">
        <f t="shared" si="16"/>
        <v>4375</v>
      </c>
    </row>
    <row r="43" spans="4:21" ht="17.25" x14ac:dyDescent="0.3">
      <c r="D43" s="19"/>
      <c r="E43" s="19"/>
      <c r="F43" s="19"/>
      <c r="G43" s="19"/>
      <c r="H43" s="54">
        <v>22975</v>
      </c>
      <c r="I43" s="22">
        <f>SUM(I30:I42)</f>
        <v>13103.25</v>
      </c>
      <c r="J43" s="42"/>
      <c r="K43" s="23"/>
      <c r="L43" s="51">
        <f>I43/B11</f>
        <v>0.37437857142857145</v>
      </c>
      <c r="M43" s="76">
        <f>I43</f>
        <v>13103.25</v>
      </c>
      <c r="O43"/>
      <c r="P43" s="20">
        <v>42992</v>
      </c>
      <c r="Q43" s="74">
        <f t="shared" si="17"/>
        <v>82453.25</v>
      </c>
      <c r="R43" s="20">
        <v>42992</v>
      </c>
      <c r="S43" s="71">
        <f t="shared" si="18"/>
        <v>7050</v>
      </c>
      <c r="U43" s="71">
        <f t="shared" si="16"/>
        <v>7050</v>
      </c>
    </row>
    <row r="44" spans="4:21" ht="17.25" x14ac:dyDescent="0.3">
      <c r="D44" s="19"/>
      <c r="E44" s="19"/>
      <c r="F44" s="19"/>
      <c r="G44" s="19"/>
      <c r="H44" s="55"/>
      <c r="I44" s="22"/>
      <c r="J44" s="45"/>
      <c r="K44" s="23"/>
      <c r="L44" s="51"/>
      <c r="M44" s="76"/>
      <c r="O44"/>
      <c r="P44" s="20">
        <v>43022</v>
      </c>
      <c r="Q44" s="74">
        <f t="shared" si="17"/>
        <v>84965.75</v>
      </c>
      <c r="R44" s="20">
        <v>43022</v>
      </c>
      <c r="S44" s="71">
        <f t="shared" si="18"/>
        <v>2512.5</v>
      </c>
      <c r="U44" s="71">
        <f t="shared" si="16"/>
        <v>2512.5</v>
      </c>
    </row>
    <row r="45" spans="4:21" ht="17.25" x14ac:dyDescent="0.3">
      <c r="D45" s="20">
        <v>42749</v>
      </c>
      <c r="E45" s="21">
        <f>E30</f>
        <v>50000</v>
      </c>
      <c r="F45" s="21">
        <v>0</v>
      </c>
      <c r="G45" s="21">
        <v>-22975</v>
      </c>
      <c r="H45" s="54">
        <v>-1700</v>
      </c>
      <c r="I45" s="21">
        <f>H45*B13</f>
        <v>-2550</v>
      </c>
      <c r="J45" s="42">
        <f t="shared" ref="J45:J56" si="19">I45</f>
        <v>-2550</v>
      </c>
      <c r="K45" s="21">
        <f t="shared" ref="K45:K56" si="20">E45+I45</f>
        <v>47450</v>
      </c>
      <c r="L45" s="49">
        <f t="shared" ref="L45:L56" si="21">I45/E45</f>
        <v>-5.0999999999999997E-2</v>
      </c>
      <c r="M45" s="76"/>
      <c r="O45"/>
      <c r="P45" s="20">
        <v>43053</v>
      </c>
      <c r="Q45" s="74">
        <f t="shared" si="17"/>
        <v>88865.75</v>
      </c>
      <c r="R45" s="20">
        <v>43053</v>
      </c>
      <c r="S45" s="71">
        <f t="shared" si="18"/>
        <v>3900</v>
      </c>
      <c r="U45" s="71">
        <f t="shared" si="16"/>
        <v>3900</v>
      </c>
    </row>
    <row r="46" spans="4:21" ht="17.25" x14ac:dyDescent="0.3">
      <c r="D46" s="20">
        <v>42780</v>
      </c>
      <c r="E46" s="21">
        <f t="shared" ref="E46:E56" si="22">E45+I45</f>
        <v>47450</v>
      </c>
      <c r="F46" s="21">
        <v>0</v>
      </c>
      <c r="G46" s="21">
        <v>0</v>
      </c>
      <c r="H46" s="54">
        <v>13287.5</v>
      </c>
      <c r="I46" s="21">
        <f>H46*B12</f>
        <v>13287.5</v>
      </c>
      <c r="J46" s="42">
        <f t="shared" si="19"/>
        <v>13287.5</v>
      </c>
      <c r="K46" s="21">
        <f t="shared" si="20"/>
        <v>60737.5</v>
      </c>
      <c r="L46" s="49">
        <f t="shared" si="21"/>
        <v>0.28003161222339307</v>
      </c>
      <c r="M46" s="76"/>
      <c r="O46"/>
      <c r="P46" s="20">
        <v>43083</v>
      </c>
      <c r="Q46" s="74">
        <f t="shared" si="17"/>
        <v>91740.75</v>
      </c>
      <c r="R46" s="20">
        <v>43083</v>
      </c>
      <c r="S46" s="71">
        <f t="shared" si="18"/>
        <v>2875</v>
      </c>
      <c r="U46" s="71">
        <f t="shared" si="16"/>
        <v>2875</v>
      </c>
    </row>
    <row r="47" spans="4:21" ht="17.25" x14ac:dyDescent="0.3">
      <c r="D47" s="20">
        <v>42808</v>
      </c>
      <c r="E47" s="21">
        <f t="shared" si="22"/>
        <v>60737.5</v>
      </c>
      <c r="F47" s="21">
        <v>0</v>
      </c>
      <c r="G47" s="21">
        <v>0</v>
      </c>
      <c r="H47" s="54">
        <v>-37.5</v>
      </c>
      <c r="I47" s="21">
        <f>H47*B13</f>
        <v>-56.25</v>
      </c>
      <c r="J47" s="42">
        <f t="shared" si="19"/>
        <v>-56.25</v>
      </c>
      <c r="K47" s="21">
        <f t="shared" si="20"/>
        <v>60681.25</v>
      </c>
      <c r="L47" s="49">
        <f t="shared" si="21"/>
        <v>-9.2611648487343073E-4</v>
      </c>
      <c r="M47" s="76"/>
      <c r="O47"/>
      <c r="P47" s="20">
        <v>42750</v>
      </c>
      <c r="Q47" s="74">
        <f t="shared" si="17"/>
        <v>106890.75</v>
      </c>
      <c r="R47" s="20">
        <v>42750</v>
      </c>
      <c r="S47" s="71">
        <f t="shared" si="18"/>
        <v>15150</v>
      </c>
      <c r="U47" s="71">
        <f t="shared" ref="U47:U58" si="23">I60</f>
        <v>15150</v>
      </c>
    </row>
    <row r="48" spans="4:21" ht="17.25" x14ac:dyDescent="0.3">
      <c r="D48" s="20">
        <v>42839</v>
      </c>
      <c r="E48" s="21">
        <f t="shared" si="22"/>
        <v>60681.25</v>
      </c>
      <c r="F48" s="21">
        <v>0</v>
      </c>
      <c r="G48" s="21">
        <v>0</v>
      </c>
      <c r="H48" s="54">
        <v>7825</v>
      </c>
      <c r="I48" s="21">
        <f>H48*B12</f>
        <v>7825</v>
      </c>
      <c r="J48" s="42">
        <f t="shared" si="19"/>
        <v>7825</v>
      </c>
      <c r="K48" s="21">
        <f t="shared" si="20"/>
        <v>68506.25</v>
      </c>
      <c r="L48" s="49">
        <f t="shared" si="21"/>
        <v>0.12895251828200638</v>
      </c>
      <c r="M48" s="76"/>
      <c r="O48"/>
      <c r="P48" s="20">
        <v>42781</v>
      </c>
      <c r="Q48" s="74">
        <f t="shared" si="17"/>
        <v>115803.25</v>
      </c>
      <c r="R48" s="20">
        <v>42781</v>
      </c>
      <c r="S48" s="71">
        <f t="shared" si="18"/>
        <v>8912.5</v>
      </c>
      <c r="U48" s="71">
        <f t="shared" si="23"/>
        <v>8912.5</v>
      </c>
    </row>
    <row r="49" spans="4:21" ht="17.25" x14ac:dyDescent="0.3">
      <c r="D49" s="20">
        <v>42869</v>
      </c>
      <c r="E49" s="21">
        <f t="shared" si="22"/>
        <v>68506.25</v>
      </c>
      <c r="F49" s="21">
        <v>0</v>
      </c>
      <c r="G49" s="21">
        <v>0</v>
      </c>
      <c r="H49" s="54">
        <v>4050</v>
      </c>
      <c r="I49" s="21">
        <f>H49*B13</f>
        <v>6075</v>
      </c>
      <c r="J49" s="42">
        <f t="shared" si="19"/>
        <v>6075</v>
      </c>
      <c r="K49" s="21">
        <f t="shared" si="20"/>
        <v>74581.25</v>
      </c>
      <c r="L49" s="49">
        <f t="shared" si="21"/>
        <v>8.8678040324787891E-2</v>
      </c>
      <c r="M49" s="76"/>
      <c r="O49"/>
      <c r="P49" s="20">
        <v>42809</v>
      </c>
      <c r="Q49" s="74">
        <f t="shared" si="17"/>
        <v>125647</v>
      </c>
      <c r="R49" s="20">
        <v>42809</v>
      </c>
      <c r="S49" s="71">
        <f t="shared" si="18"/>
        <v>9843.75</v>
      </c>
      <c r="U49" s="71">
        <f t="shared" si="23"/>
        <v>9843.75</v>
      </c>
    </row>
    <row r="50" spans="4:21" ht="17.25" x14ac:dyDescent="0.3">
      <c r="D50" s="20">
        <v>42900</v>
      </c>
      <c r="E50" s="21">
        <f t="shared" si="22"/>
        <v>74581.25</v>
      </c>
      <c r="F50" s="21">
        <v>0</v>
      </c>
      <c r="G50" s="21">
        <v>0</v>
      </c>
      <c r="H50" s="54">
        <v>25</v>
      </c>
      <c r="I50" s="21">
        <f>H50*B12</f>
        <v>25</v>
      </c>
      <c r="J50" s="42">
        <f t="shared" si="19"/>
        <v>25</v>
      </c>
      <c r="K50" s="21">
        <f t="shared" si="20"/>
        <v>74606.25</v>
      </c>
      <c r="L50" s="49">
        <f t="shared" si="21"/>
        <v>3.3520489399145229E-4</v>
      </c>
      <c r="M50" s="76"/>
      <c r="O50"/>
      <c r="P50" s="20">
        <v>42840</v>
      </c>
      <c r="Q50" s="74">
        <f t="shared" si="17"/>
        <v>118690.75</v>
      </c>
      <c r="R50" s="20">
        <v>42840</v>
      </c>
      <c r="T50" s="71">
        <f>U50</f>
        <v>-6956.25</v>
      </c>
      <c r="U50" s="71">
        <f t="shared" si="23"/>
        <v>-6956.25</v>
      </c>
    </row>
    <row r="51" spans="4:21" ht="17.25" x14ac:dyDescent="0.3">
      <c r="D51" s="20">
        <v>42930</v>
      </c>
      <c r="E51" s="21">
        <f t="shared" si="22"/>
        <v>74606.25</v>
      </c>
      <c r="F51" s="21">
        <v>0</v>
      </c>
      <c r="G51" s="21">
        <v>0</v>
      </c>
      <c r="H51" s="54">
        <v>-912.5</v>
      </c>
      <c r="I51" s="21">
        <f>H51*B13</f>
        <v>-1368.75</v>
      </c>
      <c r="J51" s="42">
        <f t="shared" si="19"/>
        <v>-1368.75</v>
      </c>
      <c r="K51" s="21">
        <f t="shared" si="20"/>
        <v>73237.5</v>
      </c>
      <c r="L51" s="49">
        <f t="shared" si="21"/>
        <v>-1.834631817039457E-2</v>
      </c>
      <c r="M51" s="76"/>
      <c r="O51"/>
      <c r="P51" s="20">
        <v>42870</v>
      </c>
      <c r="Q51" s="74">
        <f t="shared" si="17"/>
        <v>113572</v>
      </c>
      <c r="R51" s="20">
        <v>42870</v>
      </c>
      <c r="T51" s="71">
        <f>U51</f>
        <v>-5118.75</v>
      </c>
      <c r="U51" s="71">
        <f t="shared" si="23"/>
        <v>-5118.75</v>
      </c>
    </row>
    <row r="52" spans="4:21" ht="17.25" x14ac:dyDescent="0.3">
      <c r="D52" s="20">
        <v>42961</v>
      </c>
      <c r="E52" s="21">
        <f t="shared" si="22"/>
        <v>73237.5</v>
      </c>
      <c r="F52" s="21">
        <v>0</v>
      </c>
      <c r="G52" s="21">
        <v>0</v>
      </c>
      <c r="H52" s="54">
        <v>4375</v>
      </c>
      <c r="I52" s="21">
        <f>H52*B12</f>
        <v>4375</v>
      </c>
      <c r="J52" s="42">
        <f t="shared" si="19"/>
        <v>4375</v>
      </c>
      <c r="K52" s="21">
        <f t="shared" si="20"/>
        <v>77612.5</v>
      </c>
      <c r="L52" s="49">
        <f t="shared" si="21"/>
        <v>5.9737156511350059E-2</v>
      </c>
      <c r="M52" s="76"/>
      <c r="O52"/>
      <c r="P52" s="20">
        <v>42901</v>
      </c>
      <c r="Q52" s="74">
        <f t="shared" si="17"/>
        <v>120078.25</v>
      </c>
      <c r="R52" s="20">
        <v>42901</v>
      </c>
      <c r="S52" s="71">
        <f>U52</f>
        <v>6506.25</v>
      </c>
      <c r="U52" s="71">
        <f t="shared" si="23"/>
        <v>6506.25</v>
      </c>
    </row>
    <row r="53" spans="4:21" ht="17.25" x14ac:dyDescent="0.3">
      <c r="D53" s="20">
        <v>42992</v>
      </c>
      <c r="E53" s="21">
        <f t="shared" si="22"/>
        <v>77612.5</v>
      </c>
      <c r="F53" s="21">
        <v>0</v>
      </c>
      <c r="G53" s="21">
        <v>0</v>
      </c>
      <c r="H53" s="54">
        <v>4700</v>
      </c>
      <c r="I53" s="21">
        <f>H53*B13</f>
        <v>7050</v>
      </c>
      <c r="J53" s="42">
        <f t="shared" si="19"/>
        <v>7050</v>
      </c>
      <c r="K53" s="21">
        <f t="shared" si="20"/>
        <v>84662.5</v>
      </c>
      <c r="L53" s="49">
        <f t="shared" si="21"/>
        <v>9.0835883395071676E-2</v>
      </c>
      <c r="M53" s="76"/>
      <c r="O53"/>
      <c r="P53" s="20">
        <v>42931</v>
      </c>
      <c r="Q53" s="74">
        <f t="shared" si="17"/>
        <v>124728.25</v>
      </c>
      <c r="R53" s="20">
        <v>42931</v>
      </c>
      <c r="S53" s="71">
        <f>U53</f>
        <v>4650</v>
      </c>
      <c r="U53" s="71">
        <f t="shared" si="23"/>
        <v>4650</v>
      </c>
    </row>
    <row r="54" spans="4:21" ht="17.25" x14ac:dyDescent="0.3">
      <c r="D54" s="20">
        <v>43022</v>
      </c>
      <c r="E54" s="21">
        <f t="shared" si="22"/>
        <v>84662.5</v>
      </c>
      <c r="F54" s="21">
        <v>0</v>
      </c>
      <c r="G54" s="21">
        <v>0</v>
      </c>
      <c r="H54" s="54">
        <v>2512.5</v>
      </c>
      <c r="I54" s="21">
        <f>H54*B12</f>
        <v>2512.5</v>
      </c>
      <c r="J54" s="42">
        <f t="shared" si="19"/>
        <v>2512.5</v>
      </c>
      <c r="K54" s="21">
        <f t="shared" si="20"/>
        <v>87175</v>
      </c>
      <c r="L54" s="49">
        <f t="shared" si="21"/>
        <v>2.9676657315812788E-2</v>
      </c>
      <c r="M54" s="76"/>
      <c r="O54"/>
      <c r="P54" s="20">
        <v>42962</v>
      </c>
      <c r="Q54" s="74">
        <f t="shared" si="17"/>
        <v>120097</v>
      </c>
      <c r="R54" s="20">
        <v>42962</v>
      </c>
      <c r="T54" s="71">
        <f>U54</f>
        <v>-4631.25</v>
      </c>
      <c r="U54" s="71">
        <f t="shared" si="23"/>
        <v>-4631.25</v>
      </c>
    </row>
    <row r="55" spans="4:21" ht="17.25" x14ac:dyDescent="0.3">
      <c r="D55" s="20">
        <v>43053</v>
      </c>
      <c r="E55" s="21">
        <f t="shared" si="22"/>
        <v>87175</v>
      </c>
      <c r="F55" s="21">
        <v>0</v>
      </c>
      <c r="G55" s="21">
        <v>0</v>
      </c>
      <c r="H55" s="54">
        <v>2600</v>
      </c>
      <c r="I55" s="21">
        <f>H55*B13</f>
        <v>3900</v>
      </c>
      <c r="J55" s="42">
        <f t="shared" si="19"/>
        <v>3900</v>
      </c>
      <c r="K55" s="21">
        <f t="shared" si="20"/>
        <v>91075</v>
      </c>
      <c r="L55" s="49">
        <f t="shared" si="21"/>
        <v>4.4737596788069975E-2</v>
      </c>
      <c r="M55" s="76"/>
      <c r="O55"/>
      <c r="P55" s="20">
        <v>42993</v>
      </c>
      <c r="Q55" s="74">
        <f t="shared" si="17"/>
        <v>118334.5</v>
      </c>
      <c r="R55" s="20">
        <v>42993</v>
      </c>
      <c r="T55" s="71">
        <f>U55</f>
        <v>-1762.5</v>
      </c>
      <c r="U55" s="71">
        <f t="shared" si="23"/>
        <v>-1762.5</v>
      </c>
    </row>
    <row r="56" spans="4:21" ht="17.25" x14ac:dyDescent="0.3">
      <c r="D56" s="20">
        <v>43083</v>
      </c>
      <c r="E56" s="21">
        <f t="shared" si="22"/>
        <v>91075</v>
      </c>
      <c r="F56" s="21">
        <v>0</v>
      </c>
      <c r="G56" s="21">
        <v>0</v>
      </c>
      <c r="H56" s="54">
        <v>2875</v>
      </c>
      <c r="I56" s="21">
        <f>H56*B12</f>
        <v>2875</v>
      </c>
      <c r="J56" s="42">
        <f t="shared" si="19"/>
        <v>2875</v>
      </c>
      <c r="K56" s="21">
        <f t="shared" si="20"/>
        <v>93950</v>
      </c>
      <c r="L56" s="49">
        <f t="shared" si="21"/>
        <v>3.15673895141367E-2</v>
      </c>
      <c r="M56" s="76"/>
      <c r="N56" s="29">
        <v>12</v>
      </c>
      <c r="O56"/>
      <c r="P56" s="20">
        <v>43023</v>
      </c>
      <c r="Q56" s="74">
        <f t="shared" si="17"/>
        <v>137834.5</v>
      </c>
      <c r="R56" s="20">
        <v>43023</v>
      </c>
      <c r="S56" s="71">
        <f>U56</f>
        <v>19500</v>
      </c>
      <c r="U56" s="71">
        <f t="shared" si="23"/>
        <v>19500</v>
      </c>
    </row>
    <row r="57" spans="4:21" ht="17.25" x14ac:dyDescent="0.3">
      <c r="D57" s="19"/>
      <c r="E57" s="19"/>
      <c r="F57" s="19"/>
      <c r="G57" s="19"/>
      <c r="H57" s="55" t="s">
        <v>11</v>
      </c>
      <c r="I57" s="19" t="s">
        <v>11</v>
      </c>
      <c r="K57" s="19"/>
      <c r="L57" s="19" t="s">
        <v>11</v>
      </c>
      <c r="M57" s="76"/>
      <c r="O57"/>
      <c r="P57" s="20">
        <v>43054</v>
      </c>
      <c r="Q57" s="74">
        <f t="shared" si="17"/>
        <v>148747</v>
      </c>
      <c r="R57" s="20">
        <v>43054</v>
      </c>
      <c r="S57" s="71">
        <f>U57</f>
        <v>10912.5</v>
      </c>
      <c r="U57" s="71">
        <f t="shared" si="23"/>
        <v>10912.5</v>
      </c>
    </row>
    <row r="58" spans="4:21" ht="17.25" x14ac:dyDescent="0.3">
      <c r="D58" s="19"/>
      <c r="E58" s="19"/>
      <c r="F58" s="19"/>
      <c r="G58" s="19"/>
      <c r="H58" s="54">
        <v>39600</v>
      </c>
      <c r="I58" s="22">
        <f>SUM(I45:I57)</f>
        <v>43950</v>
      </c>
      <c r="J58" s="42"/>
      <c r="K58" s="23"/>
      <c r="L58" s="51">
        <f>I58/B11</f>
        <v>1.2557142857142858</v>
      </c>
      <c r="M58" s="76">
        <f>I58</f>
        <v>43950</v>
      </c>
      <c r="O58"/>
      <c r="P58" s="20">
        <v>43084</v>
      </c>
      <c r="Q58" s="74">
        <f t="shared" si="17"/>
        <v>148847</v>
      </c>
      <c r="R58" s="20">
        <v>43084</v>
      </c>
      <c r="S58" s="71">
        <f>U58</f>
        <v>100</v>
      </c>
      <c r="U58" s="71">
        <f t="shared" si="23"/>
        <v>100</v>
      </c>
    </row>
    <row r="59" spans="4:21" ht="17.25" x14ac:dyDescent="0.3">
      <c r="D59" s="19"/>
      <c r="E59" s="19"/>
      <c r="F59" s="19"/>
      <c r="G59" s="19"/>
      <c r="H59" s="55"/>
      <c r="I59" s="19"/>
      <c r="J59" s="43"/>
      <c r="K59" s="2"/>
      <c r="L59" s="34"/>
      <c r="M59" s="76"/>
      <c r="O59"/>
      <c r="P59" s="20">
        <v>42751</v>
      </c>
      <c r="Q59" s="74">
        <f t="shared" si="17"/>
        <v>149522</v>
      </c>
      <c r="R59" s="20">
        <v>42751</v>
      </c>
      <c r="S59" s="71">
        <f>U59</f>
        <v>675</v>
      </c>
      <c r="U59" s="71">
        <f t="shared" ref="U59:U70" si="24">I75</f>
        <v>675</v>
      </c>
    </row>
    <row r="60" spans="4:21" ht="17.25" x14ac:dyDescent="0.3">
      <c r="D60" s="20">
        <v>42750</v>
      </c>
      <c r="E60" s="21">
        <f>E45</f>
        <v>50000</v>
      </c>
      <c r="F60" s="21">
        <v>0</v>
      </c>
      <c r="G60" s="21">
        <f>-I58</f>
        <v>-43950</v>
      </c>
      <c r="H60" s="54">
        <v>10100</v>
      </c>
      <c r="I60" s="21">
        <f>H60*B13</f>
        <v>15150</v>
      </c>
      <c r="J60" s="42">
        <f t="shared" ref="J60:J67" si="25">I60</f>
        <v>15150</v>
      </c>
      <c r="K60" s="21">
        <f>E60+I60</f>
        <v>65150</v>
      </c>
      <c r="L60" s="49">
        <f>I60/B11</f>
        <v>0.43285714285714288</v>
      </c>
      <c r="M60" s="76"/>
      <c r="O60"/>
      <c r="P60" s="20">
        <v>42782</v>
      </c>
      <c r="Q60" s="74">
        <f t="shared" si="17"/>
        <v>165534.5</v>
      </c>
      <c r="R60" s="20">
        <v>42782</v>
      </c>
      <c r="S60" s="71">
        <f>U60</f>
        <v>16012.5</v>
      </c>
      <c r="U60" s="71">
        <f t="shared" si="24"/>
        <v>16012.5</v>
      </c>
    </row>
    <row r="61" spans="4:21" ht="17.25" x14ac:dyDescent="0.3">
      <c r="D61" s="20">
        <v>42781</v>
      </c>
      <c r="E61" s="21">
        <f t="shared" ref="E61:E71" si="26">E60+I60</f>
        <v>65150</v>
      </c>
      <c r="F61" s="21">
        <v>0</v>
      </c>
      <c r="G61" s="21">
        <v>0</v>
      </c>
      <c r="H61" s="54">
        <v>8912.5</v>
      </c>
      <c r="I61" s="21">
        <f>H61*B12</f>
        <v>8912.5</v>
      </c>
      <c r="J61" s="42">
        <f t="shared" si="25"/>
        <v>8912.5</v>
      </c>
      <c r="K61" s="21">
        <f>E61+I61</f>
        <v>74062.5</v>
      </c>
      <c r="L61" s="49">
        <f t="shared" ref="L61:L71" si="27">I61/K60</f>
        <v>0.13679969301611666</v>
      </c>
      <c r="M61" s="76"/>
      <c r="O61"/>
      <c r="P61" s="20">
        <v>42810</v>
      </c>
      <c r="Q61" s="74">
        <f t="shared" si="17"/>
        <v>165028.25</v>
      </c>
      <c r="R61" s="20">
        <v>42810</v>
      </c>
      <c r="T61" s="71">
        <f>U61</f>
        <v>-506.25</v>
      </c>
      <c r="U61" s="71">
        <f t="shared" si="24"/>
        <v>-506.25</v>
      </c>
    </row>
    <row r="62" spans="4:21" ht="17.25" x14ac:dyDescent="0.3">
      <c r="D62" s="20">
        <v>42809</v>
      </c>
      <c r="E62" s="21">
        <f t="shared" si="26"/>
        <v>74062.5</v>
      </c>
      <c r="F62" s="21">
        <v>0</v>
      </c>
      <c r="G62" s="21">
        <v>0</v>
      </c>
      <c r="H62" s="54">
        <v>6562.5</v>
      </c>
      <c r="I62" s="21">
        <f>H62*B13</f>
        <v>9843.75</v>
      </c>
      <c r="J62" s="42">
        <f t="shared" si="25"/>
        <v>9843.75</v>
      </c>
      <c r="K62" s="21">
        <f>I62+E62</f>
        <v>83906.25</v>
      </c>
      <c r="L62" s="49">
        <f t="shared" si="27"/>
        <v>0.13291139240506328</v>
      </c>
      <c r="M62" s="3"/>
      <c r="O62" s="33"/>
      <c r="P62" s="20">
        <v>42841</v>
      </c>
      <c r="Q62" s="74">
        <f t="shared" si="17"/>
        <v>168253.25</v>
      </c>
      <c r="R62" s="20">
        <v>42841</v>
      </c>
      <c r="S62" s="71">
        <f>U62</f>
        <v>3225</v>
      </c>
      <c r="U62" s="71">
        <f t="shared" si="24"/>
        <v>3225</v>
      </c>
    </row>
    <row r="63" spans="4:21" ht="17.25" x14ac:dyDescent="0.3">
      <c r="D63" s="20">
        <v>42840</v>
      </c>
      <c r="E63" s="21">
        <f t="shared" si="26"/>
        <v>83906.25</v>
      </c>
      <c r="F63" s="21">
        <v>0</v>
      </c>
      <c r="G63" s="21">
        <v>0</v>
      </c>
      <c r="H63" s="54">
        <v>-4637.5</v>
      </c>
      <c r="I63" s="21">
        <f>H63*B13</f>
        <v>-6956.25</v>
      </c>
      <c r="J63" s="42">
        <f t="shared" si="25"/>
        <v>-6956.25</v>
      </c>
      <c r="K63" s="21">
        <f t="shared" ref="K63:K71" si="28">K62+I63</f>
        <v>76950</v>
      </c>
      <c r="L63" s="49">
        <f t="shared" si="27"/>
        <v>-8.2905027932960895E-2</v>
      </c>
      <c r="M63" s="3"/>
      <c r="O63" s="33"/>
      <c r="P63" s="20">
        <v>42871</v>
      </c>
      <c r="Q63" s="74">
        <f t="shared" si="17"/>
        <v>162478.25</v>
      </c>
      <c r="R63" s="20">
        <v>42871</v>
      </c>
      <c r="T63" s="71">
        <f>U63</f>
        <v>-5775</v>
      </c>
      <c r="U63" s="71">
        <f t="shared" si="24"/>
        <v>-5775</v>
      </c>
    </row>
    <row r="64" spans="4:21" ht="17.25" x14ac:dyDescent="0.3">
      <c r="D64" s="20">
        <v>42870</v>
      </c>
      <c r="E64" s="21">
        <f t="shared" si="26"/>
        <v>76950</v>
      </c>
      <c r="F64" s="21">
        <v>0</v>
      </c>
      <c r="G64" s="21">
        <v>0</v>
      </c>
      <c r="H64" s="54">
        <v>-3412.5</v>
      </c>
      <c r="I64" s="21">
        <f>H64*B13</f>
        <v>-5118.75</v>
      </c>
      <c r="J64" s="42">
        <f t="shared" si="25"/>
        <v>-5118.75</v>
      </c>
      <c r="K64" s="21">
        <f t="shared" si="28"/>
        <v>71831.25</v>
      </c>
      <c r="L64" s="49">
        <f t="shared" si="27"/>
        <v>-6.6520467836257313E-2</v>
      </c>
      <c r="M64" s="3"/>
      <c r="O64" s="33"/>
      <c r="P64" s="20">
        <v>42902</v>
      </c>
      <c r="Q64" s="74">
        <f t="shared" si="17"/>
        <v>168340.75</v>
      </c>
      <c r="R64" s="20">
        <v>42902</v>
      </c>
      <c r="S64" s="71">
        <f>U64</f>
        <v>5862.5</v>
      </c>
      <c r="U64" s="71">
        <f t="shared" si="24"/>
        <v>5862.5</v>
      </c>
    </row>
    <row r="65" spans="4:21" ht="17.25" x14ac:dyDescent="0.3">
      <c r="D65" s="20">
        <v>42901</v>
      </c>
      <c r="E65" s="21">
        <f t="shared" si="26"/>
        <v>71831.25</v>
      </c>
      <c r="F65" s="21">
        <v>0</v>
      </c>
      <c r="G65" s="21">
        <v>0</v>
      </c>
      <c r="H65" s="54">
        <v>4337.5</v>
      </c>
      <c r="I65" s="21">
        <f>H65*B13</f>
        <v>6506.25</v>
      </c>
      <c r="J65" s="42">
        <f t="shared" si="25"/>
        <v>6506.25</v>
      </c>
      <c r="K65" s="21">
        <f t="shared" si="28"/>
        <v>78337.5</v>
      </c>
      <c r="L65" s="49">
        <f t="shared" si="27"/>
        <v>9.057687287914383E-2</v>
      </c>
      <c r="M65" s="3"/>
      <c r="O65" s="33"/>
      <c r="P65" s="20">
        <v>42932</v>
      </c>
      <c r="Q65" s="74">
        <f t="shared" si="17"/>
        <v>172178.25</v>
      </c>
      <c r="R65" s="20">
        <v>42932</v>
      </c>
      <c r="S65" s="71">
        <f>U65</f>
        <v>3837.5</v>
      </c>
      <c r="U65" s="71">
        <f t="shared" si="24"/>
        <v>3837.5</v>
      </c>
    </row>
    <row r="66" spans="4:21" ht="17.25" x14ac:dyDescent="0.3">
      <c r="D66" s="20">
        <v>42931</v>
      </c>
      <c r="E66" s="21">
        <f t="shared" si="26"/>
        <v>78337.5</v>
      </c>
      <c r="F66" s="21">
        <v>0</v>
      </c>
      <c r="G66" s="21">
        <v>0</v>
      </c>
      <c r="H66" s="54">
        <v>3100</v>
      </c>
      <c r="I66" s="21">
        <f>H66*B13</f>
        <v>4650</v>
      </c>
      <c r="J66" s="42">
        <f t="shared" si="25"/>
        <v>4650</v>
      </c>
      <c r="K66" s="21">
        <f t="shared" si="28"/>
        <v>82987.5</v>
      </c>
      <c r="L66" s="49">
        <f t="shared" si="27"/>
        <v>5.9358544758257539E-2</v>
      </c>
      <c r="M66" s="3"/>
      <c r="O66" s="33"/>
      <c r="P66" s="20">
        <v>42963</v>
      </c>
      <c r="Q66" s="74">
        <f t="shared" si="17"/>
        <v>179865.75</v>
      </c>
      <c r="R66" s="20">
        <v>42963</v>
      </c>
      <c r="S66" s="71">
        <f>U66</f>
        <v>7687.5</v>
      </c>
      <c r="U66" s="71">
        <f t="shared" si="24"/>
        <v>7687.5</v>
      </c>
    </row>
    <row r="67" spans="4:21" ht="17.25" x14ac:dyDescent="0.3">
      <c r="D67" s="20">
        <v>42962</v>
      </c>
      <c r="E67" s="21">
        <f t="shared" si="26"/>
        <v>82987.5</v>
      </c>
      <c r="F67" s="21">
        <v>0</v>
      </c>
      <c r="G67" s="21">
        <v>0</v>
      </c>
      <c r="H67" s="54">
        <v>-3087.5</v>
      </c>
      <c r="I67" s="21">
        <f>H67*B13</f>
        <v>-4631.25</v>
      </c>
      <c r="J67" s="42">
        <f t="shared" si="25"/>
        <v>-4631.25</v>
      </c>
      <c r="K67" s="21">
        <f t="shared" si="28"/>
        <v>78356.25</v>
      </c>
      <c r="L67" s="49">
        <f t="shared" si="27"/>
        <v>-5.5806597379123364E-2</v>
      </c>
      <c r="M67" s="3"/>
      <c r="O67" s="33"/>
      <c r="P67" s="20">
        <v>42994</v>
      </c>
      <c r="Q67" s="74">
        <f t="shared" si="17"/>
        <v>178103.25</v>
      </c>
      <c r="R67" s="20">
        <v>42994</v>
      </c>
      <c r="T67" s="71">
        <f>U67</f>
        <v>-1762.5</v>
      </c>
      <c r="U67" s="71">
        <f t="shared" si="24"/>
        <v>-1762.5</v>
      </c>
    </row>
    <row r="68" spans="4:21" ht="17.25" x14ac:dyDescent="0.3">
      <c r="D68" s="20">
        <v>42993</v>
      </c>
      <c r="E68" s="21">
        <f t="shared" si="26"/>
        <v>78356.25</v>
      </c>
      <c r="F68" s="21">
        <v>0</v>
      </c>
      <c r="G68" s="21">
        <v>0</v>
      </c>
      <c r="H68" s="54">
        <v>-1762.5</v>
      </c>
      <c r="I68" s="21">
        <f>H68*B12</f>
        <v>-1762.5</v>
      </c>
      <c r="J68" s="42">
        <f>SUM(J64:J67)</f>
        <v>1406.25</v>
      </c>
      <c r="K68" s="21">
        <f t="shared" si="28"/>
        <v>76593.75</v>
      </c>
      <c r="L68" s="49">
        <f t="shared" si="27"/>
        <v>-2.2493419478344101E-2</v>
      </c>
      <c r="M68" s="3"/>
      <c r="O68" s="33"/>
      <c r="P68" s="20">
        <v>43024</v>
      </c>
      <c r="Q68" s="74">
        <f t="shared" si="17"/>
        <v>175797</v>
      </c>
      <c r="R68" s="20">
        <v>43024</v>
      </c>
      <c r="T68" s="71">
        <f>U68</f>
        <v>-2306.25</v>
      </c>
      <c r="U68" s="71">
        <f t="shared" si="24"/>
        <v>-2306.25</v>
      </c>
    </row>
    <row r="69" spans="4:21" ht="17.25" x14ac:dyDescent="0.3">
      <c r="D69" s="20">
        <v>43023</v>
      </c>
      <c r="E69" s="21">
        <f t="shared" si="26"/>
        <v>76593.75</v>
      </c>
      <c r="F69" s="21">
        <v>0</v>
      </c>
      <c r="G69" s="21">
        <v>0</v>
      </c>
      <c r="H69" s="54">
        <v>13000</v>
      </c>
      <c r="I69" s="21">
        <f>H69*B13</f>
        <v>19500</v>
      </c>
      <c r="J69" s="42">
        <f>SUM(J68)</f>
        <v>1406.25</v>
      </c>
      <c r="K69" s="21">
        <f t="shared" si="28"/>
        <v>96093.75</v>
      </c>
      <c r="L69" s="49">
        <f t="shared" si="27"/>
        <v>0.25458996328029376</v>
      </c>
      <c r="M69" s="3"/>
      <c r="O69" s="33"/>
      <c r="P69" s="20">
        <v>43055</v>
      </c>
      <c r="Q69" s="74">
        <f t="shared" ref="Q69:Q101" si="29">U69+Q68</f>
        <v>179222</v>
      </c>
      <c r="R69" s="20">
        <v>43055</v>
      </c>
      <c r="S69" s="71">
        <f>U69</f>
        <v>3425</v>
      </c>
      <c r="U69" s="71">
        <f t="shared" si="24"/>
        <v>3425</v>
      </c>
    </row>
    <row r="70" spans="4:21" ht="17.25" x14ac:dyDescent="0.3">
      <c r="D70" s="20">
        <v>43054</v>
      </c>
      <c r="E70" s="21">
        <f t="shared" si="26"/>
        <v>96093.75</v>
      </c>
      <c r="F70" s="21">
        <v>0</v>
      </c>
      <c r="G70" s="21">
        <v>0</v>
      </c>
      <c r="H70" s="54">
        <v>7275</v>
      </c>
      <c r="I70" s="21">
        <f>H70*B13</f>
        <v>10912.5</v>
      </c>
      <c r="J70" s="42">
        <f>I70</f>
        <v>10912.5</v>
      </c>
      <c r="K70" s="21">
        <f t="shared" si="28"/>
        <v>107006.25</v>
      </c>
      <c r="L70" s="49">
        <f t="shared" si="27"/>
        <v>0.1135609756097561</v>
      </c>
      <c r="M70" s="3"/>
      <c r="O70" s="33"/>
      <c r="P70" s="20">
        <v>43085</v>
      </c>
      <c r="Q70" s="74">
        <f t="shared" si="29"/>
        <v>180422</v>
      </c>
      <c r="R70" s="20">
        <v>43085</v>
      </c>
      <c r="S70" s="71">
        <f>U70</f>
        <v>1200</v>
      </c>
      <c r="U70" s="71">
        <f t="shared" si="24"/>
        <v>1200</v>
      </c>
    </row>
    <row r="71" spans="4:21" ht="17.25" x14ac:dyDescent="0.3">
      <c r="D71" s="20">
        <v>43084</v>
      </c>
      <c r="E71" s="21">
        <f t="shared" si="26"/>
        <v>107006.25</v>
      </c>
      <c r="F71" s="21">
        <v>0</v>
      </c>
      <c r="G71" s="21">
        <v>0</v>
      </c>
      <c r="H71" s="54">
        <v>100</v>
      </c>
      <c r="I71" s="21">
        <f>H71*B12</f>
        <v>100</v>
      </c>
      <c r="J71" s="42">
        <f>I71</f>
        <v>100</v>
      </c>
      <c r="K71" s="21">
        <f t="shared" si="28"/>
        <v>107106.25</v>
      </c>
      <c r="L71" s="49">
        <f t="shared" si="27"/>
        <v>9.3452485252029671E-4</v>
      </c>
      <c r="M71" s="3"/>
      <c r="N71" s="29">
        <v>12</v>
      </c>
      <c r="O71" s="33"/>
      <c r="P71" s="20">
        <v>42752</v>
      </c>
      <c r="Q71" s="74">
        <f t="shared" si="29"/>
        <v>184810.25</v>
      </c>
      <c r="R71" s="20">
        <v>42752</v>
      </c>
      <c r="S71" s="71">
        <f>U71</f>
        <v>4388.25</v>
      </c>
      <c r="U71" s="71">
        <f t="shared" ref="U71:U82" si="30">I90</f>
        <v>4388.25</v>
      </c>
    </row>
    <row r="72" spans="4:21" ht="17.25" x14ac:dyDescent="0.3">
      <c r="D72" s="19"/>
      <c r="E72" s="19"/>
      <c r="F72" s="19"/>
      <c r="G72" s="19"/>
      <c r="H72" s="55" t="s">
        <v>11</v>
      </c>
      <c r="I72" s="19" t="s">
        <v>11</v>
      </c>
      <c r="K72" s="19"/>
      <c r="L72" s="19" t="s">
        <v>12</v>
      </c>
      <c r="M72" s="2"/>
      <c r="O72" s="33"/>
      <c r="P72" s="20">
        <v>42783</v>
      </c>
      <c r="Q72" s="74">
        <f t="shared" si="29"/>
        <v>180535.25</v>
      </c>
      <c r="R72" s="20">
        <v>42783</v>
      </c>
      <c r="T72" s="71">
        <f>U72</f>
        <v>-4275</v>
      </c>
      <c r="U72" s="71">
        <f t="shared" si="30"/>
        <v>-4275</v>
      </c>
    </row>
    <row r="73" spans="4:21" ht="17.25" x14ac:dyDescent="0.3">
      <c r="D73" s="19"/>
      <c r="E73" s="19"/>
      <c r="F73" s="19"/>
      <c r="G73" s="19"/>
      <c r="H73" s="56">
        <v>56287.5</v>
      </c>
      <c r="I73" s="22">
        <f>SUM(I60:I72)</f>
        <v>57106.25</v>
      </c>
      <c r="J73" s="42"/>
      <c r="K73" s="37"/>
      <c r="L73" s="51">
        <f>I73/B11</f>
        <v>1.6316071428571428</v>
      </c>
      <c r="M73" s="76">
        <f>I73</f>
        <v>57106.25</v>
      </c>
      <c r="O73" s="33"/>
      <c r="P73" s="20">
        <v>42811</v>
      </c>
      <c r="Q73" s="74">
        <f t="shared" si="29"/>
        <v>183947.75</v>
      </c>
      <c r="R73" s="20">
        <v>42811</v>
      </c>
      <c r="S73" s="71">
        <f>U73</f>
        <v>3412.5</v>
      </c>
      <c r="U73" s="71">
        <f t="shared" si="30"/>
        <v>3412.5</v>
      </c>
    </row>
    <row r="74" spans="4:21" ht="17.25" x14ac:dyDescent="0.3">
      <c r="D74" s="19"/>
      <c r="E74" s="19"/>
      <c r="F74" s="19"/>
      <c r="G74" s="19"/>
      <c r="H74" s="55"/>
      <c r="I74" s="19"/>
      <c r="K74" s="19"/>
      <c r="L74" s="19"/>
      <c r="M74" s="2"/>
      <c r="O74" s="33"/>
      <c r="P74" s="20">
        <v>42842</v>
      </c>
      <c r="Q74" s="74">
        <f t="shared" si="29"/>
        <v>191075</v>
      </c>
      <c r="R74" s="20">
        <v>42842</v>
      </c>
      <c r="S74" s="71">
        <f>U74</f>
        <v>7127.25</v>
      </c>
      <c r="U74" s="71">
        <f t="shared" si="30"/>
        <v>7127.25</v>
      </c>
    </row>
    <row r="75" spans="4:21" ht="17.25" x14ac:dyDescent="0.3">
      <c r="D75" s="20">
        <v>42751</v>
      </c>
      <c r="E75" s="21">
        <f>E60</f>
        <v>50000</v>
      </c>
      <c r="F75" s="21">
        <v>0</v>
      </c>
      <c r="G75" s="21">
        <f>-I73</f>
        <v>-57106.25</v>
      </c>
      <c r="H75" s="54">
        <v>450</v>
      </c>
      <c r="I75" s="21">
        <f>H75*B13</f>
        <v>675</v>
      </c>
      <c r="J75" s="42">
        <f t="shared" ref="J75:J86" si="31">I75</f>
        <v>675</v>
      </c>
      <c r="K75" s="21">
        <f>I75+B11</f>
        <v>35675</v>
      </c>
      <c r="L75" s="49">
        <f>I75/B11</f>
        <v>1.9285714285714285E-2</v>
      </c>
      <c r="M75" s="3"/>
      <c r="O75" s="33"/>
      <c r="P75" s="20">
        <v>42872</v>
      </c>
      <c r="Q75" s="74">
        <f t="shared" si="29"/>
        <v>194900.5</v>
      </c>
      <c r="R75" s="20">
        <v>42872</v>
      </c>
      <c r="S75" s="71">
        <f>U75</f>
        <v>3825.5</v>
      </c>
      <c r="U75" s="71">
        <f t="shared" si="30"/>
        <v>3825.5</v>
      </c>
    </row>
    <row r="76" spans="4:21" ht="17.25" x14ac:dyDescent="0.3">
      <c r="D76" s="20">
        <v>42782</v>
      </c>
      <c r="E76" s="21">
        <f t="shared" ref="E76:E85" si="32">E75+I75</f>
        <v>50675</v>
      </c>
      <c r="F76" s="21">
        <v>0</v>
      </c>
      <c r="G76" s="21">
        <v>0</v>
      </c>
      <c r="H76" s="54">
        <v>16012.5</v>
      </c>
      <c r="I76" s="21">
        <f>H76*B12</f>
        <v>16012.5</v>
      </c>
      <c r="J76" s="42">
        <f t="shared" si="31"/>
        <v>16012.5</v>
      </c>
      <c r="K76" s="21">
        <f t="shared" ref="K76:K86" si="33">K75+I76</f>
        <v>51687.5</v>
      </c>
      <c r="L76" s="49">
        <f t="shared" ref="L76:L86" si="34">I76/K75</f>
        <v>0.448843728100911</v>
      </c>
      <c r="M76" s="3"/>
      <c r="O76" s="33"/>
      <c r="P76" s="20">
        <v>42903</v>
      </c>
      <c r="Q76" s="74">
        <f t="shared" si="29"/>
        <v>198850.5</v>
      </c>
      <c r="R76" s="20">
        <v>42903</v>
      </c>
      <c r="S76" s="71">
        <f>U76</f>
        <v>3950</v>
      </c>
      <c r="U76" s="71">
        <f t="shared" si="30"/>
        <v>3950</v>
      </c>
    </row>
    <row r="77" spans="4:21" ht="17.25" x14ac:dyDescent="0.3">
      <c r="D77" s="20">
        <v>42810</v>
      </c>
      <c r="E77" s="21">
        <f t="shared" si="32"/>
        <v>66687.5</v>
      </c>
      <c r="F77" s="21">
        <v>0</v>
      </c>
      <c r="G77" s="21">
        <v>0</v>
      </c>
      <c r="H77" s="54">
        <v>-337.5</v>
      </c>
      <c r="I77" s="21">
        <f>H77*B13</f>
        <v>-506.25</v>
      </c>
      <c r="J77" s="42">
        <f t="shared" si="31"/>
        <v>-506.25</v>
      </c>
      <c r="K77" s="21">
        <f t="shared" si="33"/>
        <v>51181.25</v>
      </c>
      <c r="L77" s="49">
        <f t="shared" si="34"/>
        <v>-9.7944377267230962E-3</v>
      </c>
      <c r="M77" s="3"/>
      <c r="O77" s="33"/>
      <c r="P77" s="20">
        <v>42933</v>
      </c>
      <c r="Q77" s="74">
        <f t="shared" si="29"/>
        <v>207513</v>
      </c>
      <c r="R77" s="20">
        <v>42933</v>
      </c>
      <c r="S77" s="71">
        <f>U77</f>
        <v>8662.5</v>
      </c>
      <c r="U77" s="71">
        <f t="shared" si="30"/>
        <v>8662.5</v>
      </c>
    </row>
    <row r="78" spans="4:21" ht="17.25" x14ac:dyDescent="0.3">
      <c r="D78" s="20">
        <v>42841</v>
      </c>
      <c r="E78" s="21">
        <f t="shared" si="32"/>
        <v>66181.25</v>
      </c>
      <c r="F78" s="21">
        <v>0</v>
      </c>
      <c r="G78" s="21">
        <v>0</v>
      </c>
      <c r="H78" s="54">
        <v>3225</v>
      </c>
      <c r="I78" s="21">
        <f>H78*B12</f>
        <v>3225</v>
      </c>
      <c r="J78" s="42">
        <f t="shared" si="31"/>
        <v>3225</v>
      </c>
      <c r="K78" s="21">
        <f t="shared" si="33"/>
        <v>54406.25</v>
      </c>
      <c r="L78" s="49">
        <f t="shared" si="34"/>
        <v>6.301135669800953E-2</v>
      </c>
      <c r="M78" s="3"/>
      <c r="O78" s="33"/>
      <c r="P78" s="20">
        <v>42964</v>
      </c>
      <c r="Q78" s="74">
        <f t="shared" si="29"/>
        <v>206363</v>
      </c>
      <c r="R78" s="20">
        <v>42964</v>
      </c>
      <c r="T78" s="71">
        <f>U78</f>
        <v>-1150</v>
      </c>
      <c r="U78" s="71">
        <f t="shared" si="30"/>
        <v>-1150</v>
      </c>
    </row>
    <row r="79" spans="4:21" ht="17.25" x14ac:dyDescent="0.3">
      <c r="D79" s="20">
        <v>42871</v>
      </c>
      <c r="E79" s="21">
        <f t="shared" si="32"/>
        <v>69406.25</v>
      </c>
      <c r="F79" s="21">
        <v>0</v>
      </c>
      <c r="G79" s="21">
        <v>0</v>
      </c>
      <c r="H79" s="54">
        <v>-3850</v>
      </c>
      <c r="I79" s="21">
        <f>H79*B13</f>
        <v>-5775</v>
      </c>
      <c r="J79" s="42">
        <f t="shared" si="31"/>
        <v>-5775</v>
      </c>
      <c r="K79" s="21">
        <f t="shared" si="33"/>
        <v>48631.25</v>
      </c>
      <c r="L79" s="49">
        <f t="shared" si="34"/>
        <v>-0.10614589316484779</v>
      </c>
      <c r="M79" s="3"/>
      <c r="O79" s="33"/>
      <c r="P79" s="20">
        <v>42995</v>
      </c>
      <c r="Q79" s="74">
        <f t="shared" si="29"/>
        <v>211515.5</v>
      </c>
      <c r="R79" s="20">
        <v>42995</v>
      </c>
      <c r="S79" s="71">
        <f>U79</f>
        <v>5152.5</v>
      </c>
      <c r="U79" s="71">
        <f t="shared" si="30"/>
        <v>5152.5</v>
      </c>
    </row>
    <row r="80" spans="4:21" ht="17.25" x14ac:dyDescent="0.3">
      <c r="D80" s="20">
        <v>42902</v>
      </c>
      <c r="E80" s="21">
        <f t="shared" si="32"/>
        <v>63631.25</v>
      </c>
      <c r="F80" s="21">
        <v>0</v>
      </c>
      <c r="G80" s="21">
        <v>0</v>
      </c>
      <c r="H80" s="54">
        <v>5862.5</v>
      </c>
      <c r="I80" s="21">
        <f>H80*B12</f>
        <v>5862.5</v>
      </c>
      <c r="J80" s="42">
        <f t="shared" si="31"/>
        <v>5862.5</v>
      </c>
      <c r="K80" s="21">
        <f t="shared" si="33"/>
        <v>54493.75</v>
      </c>
      <c r="L80" s="49">
        <f t="shared" si="34"/>
        <v>0.1205500578331834</v>
      </c>
      <c r="M80" s="3"/>
      <c r="O80" s="33"/>
      <c r="P80" s="20">
        <v>43025</v>
      </c>
      <c r="Q80" s="74">
        <f t="shared" si="29"/>
        <v>209241.5</v>
      </c>
      <c r="R80" s="20">
        <v>43025</v>
      </c>
      <c r="T80" s="71">
        <f>U80</f>
        <v>-2274</v>
      </c>
      <c r="U80" s="71">
        <f t="shared" si="30"/>
        <v>-2274</v>
      </c>
    </row>
    <row r="81" spans="4:21" ht="17.25" x14ac:dyDescent="0.3">
      <c r="D81" s="20">
        <v>42932</v>
      </c>
      <c r="E81" s="21">
        <f t="shared" si="32"/>
        <v>69493.75</v>
      </c>
      <c r="F81" s="21">
        <v>0</v>
      </c>
      <c r="G81" s="21">
        <v>0</v>
      </c>
      <c r="H81" s="54">
        <v>3837.5</v>
      </c>
      <c r="I81" s="21">
        <f>H81*B12</f>
        <v>3837.5</v>
      </c>
      <c r="J81" s="42">
        <f t="shared" si="31"/>
        <v>3837.5</v>
      </c>
      <c r="K81" s="21">
        <f t="shared" si="33"/>
        <v>58331.25</v>
      </c>
      <c r="L81" s="49">
        <f t="shared" si="34"/>
        <v>7.0420919830255765E-2</v>
      </c>
      <c r="M81" s="3"/>
      <c r="O81" s="33"/>
      <c r="P81" s="20">
        <v>43056</v>
      </c>
      <c r="Q81" s="74">
        <f t="shared" si="29"/>
        <v>216606.5</v>
      </c>
      <c r="R81" s="20">
        <v>43056</v>
      </c>
      <c r="S81" s="71">
        <f>U81</f>
        <v>7365</v>
      </c>
      <c r="U81" s="71">
        <f t="shared" si="30"/>
        <v>7365</v>
      </c>
    </row>
    <row r="82" spans="4:21" ht="17.25" x14ac:dyDescent="0.3">
      <c r="D82" s="20">
        <v>42963</v>
      </c>
      <c r="E82" s="21">
        <f t="shared" si="32"/>
        <v>73331.25</v>
      </c>
      <c r="F82" s="21">
        <v>0</v>
      </c>
      <c r="G82" s="21">
        <v>0</v>
      </c>
      <c r="H82" s="54">
        <v>5125</v>
      </c>
      <c r="I82" s="21">
        <f>H82*B13</f>
        <v>7687.5</v>
      </c>
      <c r="J82" s="42">
        <f t="shared" si="31"/>
        <v>7687.5</v>
      </c>
      <c r="K82" s="21">
        <f t="shared" si="33"/>
        <v>66018.75</v>
      </c>
      <c r="L82" s="49">
        <f t="shared" si="34"/>
        <v>0.13179042108646738</v>
      </c>
      <c r="M82" s="3"/>
      <c r="O82" s="33"/>
      <c r="P82" s="20">
        <v>43086</v>
      </c>
      <c r="Q82" s="74">
        <f t="shared" si="29"/>
        <v>213502</v>
      </c>
      <c r="R82" s="20">
        <v>43086</v>
      </c>
      <c r="T82" s="71">
        <f>U82</f>
        <v>-3104.5</v>
      </c>
      <c r="U82" s="71">
        <f t="shared" si="30"/>
        <v>-3104.5</v>
      </c>
    </row>
    <row r="83" spans="4:21" ht="17.25" x14ac:dyDescent="0.3">
      <c r="D83" s="20">
        <v>42994</v>
      </c>
      <c r="E83" s="21">
        <f t="shared" si="32"/>
        <v>81018.75</v>
      </c>
      <c r="F83" s="21">
        <v>0</v>
      </c>
      <c r="G83" s="21">
        <v>0</v>
      </c>
      <c r="H83" s="54">
        <v>-1762.5</v>
      </c>
      <c r="I83" s="21">
        <f>H83*B12</f>
        <v>-1762.5</v>
      </c>
      <c r="J83" s="42">
        <f t="shared" si="31"/>
        <v>-1762.5</v>
      </c>
      <c r="K83" s="21">
        <f t="shared" si="33"/>
        <v>64256.25</v>
      </c>
      <c r="L83" s="49">
        <f t="shared" si="34"/>
        <v>-2.6696961090599262E-2</v>
      </c>
      <c r="M83" s="3"/>
      <c r="O83" s="33"/>
      <c r="P83" s="24" t="s">
        <v>42</v>
      </c>
      <c r="Q83" s="74">
        <f t="shared" si="29"/>
        <v>225378.44</v>
      </c>
      <c r="R83" s="24" t="s">
        <v>42</v>
      </c>
      <c r="S83" s="71">
        <f>U83</f>
        <v>11876.44</v>
      </c>
      <c r="U83" s="71">
        <f t="shared" ref="U83:U94" si="35">I105</f>
        <v>11876.44</v>
      </c>
    </row>
    <row r="84" spans="4:21" ht="17.25" x14ac:dyDescent="0.3">
      <c r="D84" s="20">
        <v>43024</v>
      </c>
      <c r="E84" s="21">
        <f t="shared" si="32"/>
        <v>79256.25</v>
      </c>
      <c r="F84" s="21">
        <v>0</v>
      </c>
      <c r="G84" s="21">
        <v>0</v>
      </c>
      <c r="H84" s="54">
        <v>-1537.5</v>
      </c>
      <c r="I84" s="21">
        <f>H84*B13</f>
        <v>-2306.25</v>
      </c>
      <c r="J84" s="42">
        <f t="shared" si="31"/>
        <v>-2306.25</v>
      </c>
      <c r="K84" s="21">
        <f t="shared" si="33"/>
        <v>61950</v>
      </c>
      <c r="L84" s="49">
        <f t="shared" si="34"/>
        <v>-3.5891450248030345E-2</v>
      </c>
      <c r="M84" s="3"/>
      <c r="O84" s="33"/>
      <c r="P84" s="24" t="s">
        <v>53</v>
      </c>
      <c r="Q84" s="74">
        <f t="shared" si="29"/>
        <v>231941.69</v>
      </c>
      <c r="R84" s="24" t="s">
        <v>53</v>
      </c>
      <c r="S84" s="71">
        <f>U84</f>
        <v>6563.25</v>
      </c>
      <c r="U84" s="71">
        <f t="shared" si="35"/>
        <v>6563.25</v>
      </c>
    </row>
    <row r="85" spans="4:21" ht="17.25" x14ac:dyDescent="0.3">
      <c r="D85" s="20">
        <v>43055</v>
      </c>
      <c r="E85" s="21">
        <f t="shared" si="32"/>
        <v>76950</v>
      </c>
      <c r="F85" s="21">
        <v>0</v>
      </c>
      <c r="G85" s="21">
        <v>0</v>
      </c>
      <c r="H85" s="54">
        <v>3425</v>
      </c>
      <c r="I85" s="21">
        <f>H85*B12</f>
        <v>3425</v>
      </c>
      <c r="J85" s="42">
        <f t="shared" si="31"/>
        <v>3425</v>
      </c>
      <c r="K85" s="21">
        <f t="shared" si="33"/>
        <v>65375</v>
      </c>
      <c r="L85" s="49">
        <f t="shared" si="34"/>
        <v>5.5286521388216305E-2</v>
      </c>
      <c r="M85" s="3"/>
      <c r="O85" s="33"/>
      <c r="P85" s="24" t="s">
        <v>59</v>
      </c>
      <c r="Q85" s="74">
        <f t="shared" si="29"/>
        <v>233716.19</v>
      </c>
      <c r="R85" s="24" t="s">
        <v>59</v>
      </c>
      <c r="S85" s="71">
        <f>U85</f>
        <v>1774.5</v>
      </c>
      <c r="U85" s="71">
        <f t="shared" si="35"/>
        <v>1774.5</v>
      </c>
    </row>
    <row r="86" spans="4:21" ht="17.25" x14ac:dyDescent="0.3">
      <c r="D86" s="20">
        <v>43085</v>
      </c>
      <c r="E86" s="21">
        <f t="shared" ref="E86" si="36">K85</f>
        <v>65375</v>
      </c>
      <c r="F86" s="21">
        <v>0</v>
      </c>
      <c r="G86" s="21">
        <v>0</v>
      </c>
      <c r="H86" s="54">
        <v>800</v>
      </c>
      <c r="I86" s="21">
        <f>H86*B13</f>
        <v>1200</v>
      </c>
      <c r="J86" s="42">
        <f t="shared" si="31"/>
        <v>1200</v>
      </c>
      <c r="K86" s="21">
        <f t="shared" si="33"/>
        <v>66575</v>
      </c>
      <c r="L86" s="49">
        <f t="shared" si="34"/>
        <v>1.835564053537285E-2</v>
      </c>
      <c r="M86" s="3"/>
      <c r="N86" s="29">
        <v>12</v>
      </c>
      <c r="O86" s="33"/>
      <c r="P86" s="24" t="s">
        <v>60</v>
      </c>
      <c r="Q86" s="74">
        <f t="shared" si="29"/>
        <v>229591.19</v>
      </c>
      <c r="R86" s="24" t="s">
        <v>60</v>
      </c>
      <c r="T86" s="71">
        <f>U86</f>
        <v>-4125</v>
      </c>
      <c r="U86" s="71">
        <f t="shared" si="35"/>
        <v>-4125</v>
      </c>
    </row>
    <row r="87" spans="4:21" ht="17.25" x14ac:dyDescent="0.3">
      <c r="D87" s="19"/>
      <c r="E87" s="19"/>
      <c r="F87" s="19"/>
      <c r="G87" s="19"/>
      <c r="H87" s="55" t="s">
        <v>11</v>
      </c>
      <c r="I87" s="19" t="s">
        <v>11</v>
      </c>
      <c r="K87" s="19"/>
      <c r="L87" s="50" t="s">
        <v>12</v>
      </c>
      <c r="M87" s="2"/>
      <c r="O87" s="33"/>
      <c r="P87" s="24" t="s">
        <v>62</v>
      </c>
      <c r="Q87" s="74">
        <f t="shared" si="29"/>
        <v>227346.19</v>
      </c>
      <c r="R87" s="24" t="s">
        <v>62</v>
      </c>
      <c r="T87" s="71">
        <f>U87</f>
        <v>-2245</v>
      </c>
      <c r="U87" s="71">
        <f t="shared" si="35"/>
        <v>-2245</v>
      </c>
    </row>
    <row r="88" spans="4:21" ht="17.25" x14ac:dyDescent="0.3">
      <c r="D88" s="19"/>
      <c r="E88" s="19"/>
      <c r="F88" s="19"/>
      <c r="G88" s="19"/>
      <c r="H88" s="56">
        <v>31250</v>
      </c>
      <c r="I88" s="22">
        <f>SUM(I75:I87)</f>
        <v>31575</v>
      </c>
      <c r="J88" s="42"/>
      <c r="K88" s="23"/>
      <c r="L88" s="51">
        <f>I88/B11</f>
        <v>0.90214285714285714</v>
      </c>
      <c r="M88" s="76">
        <f>I88</f>
        <v>31575</v>
      </c>
      <c r="O88" s="33"/>
      <c r="P88" s="24" t="s">
        <v>63</v>
      </c>
      <c r="Q88" s="74">
        <f t="shared" si="29"/>
        <v>232478.23</v>
      </c>
      <c r="R88" s="24" t="s">
        <v>63</v>
      </c>
      <c r="S88" s="71">
        <f>U88</f>
        <v>5132.04</v>
      </c>
      <c r="U88" s="71">
        <f t="shared" si="35"/>
        <v>5132.04</v>
      </c>
    </row>
    <row r="89" spans="4:21" ht="17.25" x14ac:dyDescent="0.3">
      <c r="D89" s="19"/>
      <c r="E89" s="19"/>
      <c r="F89" s="19"/>
      <c r="G89" s="19"/>
      <c r="H89" s="55"/>
      <c r="I89" s="19"/>
      <c r="K89" s="19"/>
      <c r="L89" s="19"/>
      <c r="M89" s="2"/>
      <c r="O89" s="33"/>
      <c r="P89" s="24" t="s">
        <v>64</v>
      </c>
      <c r="Q89" s="74">
        <f t="shared" si="29"/>
        <v>237103.54</v>
      </c>
      <c r="R89" s="24" t="s">
        <v>64</v>
      </c>
      <c r="S89" s="71">
        <f>U89</f>
        <v>4625.3100000000004</v>
      </c>
      <c r="U89" s="71">
        <f t="shared" si="35"/>
        <v>4625.3100000000004</v>
      </c>
    </row>
    <row r="90" spans="4:21" ht="17.25" x14ac:dyDescent="0.3">
      <c r="D90" s="20">
        <v>42752</v>
      </c>
      <c r="E90" s="21">
        <f>E75</f>
        <v>50000</v>
      </c>
      <c r="F90" s="21">
        <v>0</v>
      </c>
      <c r="G90" s="21">
        <f>-I88</f>
        <v>-31575</v>
      </c>
      <c r="H90" s="54">
        <v>2925.5</v>
      </c>
      <c r="I90" s="21">
        <f>H90*B13</f>
        <v>4388.25</v>
      </c>
      <c r="J90" s="42">
        <f t="shared" ref="J90:J101" si="37">I90</f>
        <v>4388.25</v>
      </c>
      <c r="K90" s="21">
        <f>E90+I90</f>
        <v>54388.25</v>
      </c>
      <c r="L90" s="49">
        <f>I90/B11</f>
        <v>0.12537857142857142</v>
      </c>
      <c r="M90" s="3"/>
      <c r="O90" s="33"/>
      <c r="P90" s="24" t="s">
        <v>65</v>
      </c>
      <c r="Q90" s="74">
        <f t="shared" si="29"/>
        <v>230589.49000000002</v>
      </c>
      <c r="R90" s="24" t="s">
        <v>65</v>
      </c>
      <c r="T90" s="71">
        <f>U90</f>
        <v>-6514.0499999999993</v>
      </c>
      <c r="U90" s="71">
        <f t="shared" si="35"/>
        <v>-6514.0499999999993</v>
      </c>
    </row>
    <row r="91" spans="4:21" ht="17.25" x14ac:dyDescent="0.3">
      <c r="D91" s="20">
        <v>42783</v>
      </c>
      <c r="E91" s="21">
        <f t="shared" ref="E91:E101" si="38">K90</f>
        <v>54388.25</v>
      </c>
      <c r="F91" s="21">
        <v>0</v>
      </c>
      <c r="G91" s="21">
        <v>0</v>
      </c>
      <c r="H91" s="54">
        <v>-2850</v>
      </c>
      <c r="I91" s="21">
        <f>H91*B13</f>
        <v>-4275</v>
      </c>
      <c r="J91" s="42">
        <f t="shared" si="37"/>
        <v>-4275</v>
      </c>
      <c r="K91" s="21">
        <f t="shared" ref="K91:K101" si="39">K90+I91</f>
        <v>50113.25</v>
      </c>
      <c r="L91" s="49">
        <f t="shared" ref="L91:L101" si="40">I91/K90</f>
        <v>-7.8601536177391254E-2</v>
      </c>
      <c r="M91" s="3"/>
      <c r="O91" s="33"/>
      <c r="P91" s="24" t="s">
        <v>66</v>
      </c>
      <c r="Q91" s="74">
        <f t="shared" si="29"/>
        <v>227350.05000000002</v>
      </c>
      <c r="R91" s="24" t="s">
        <v>66</v>
      </c>
      <c r="T91" s="71">
        <f>U91</f>
        <v>-3239.44</v>
      </c>
      <c r="U91" s="71">
        <f t="shared" si="35"/>
        <v>-3239.44</v>
      </c>
    </row>
    <row r="92" spans="4:21" ht="17.25" x14ac:dyDescent="0.3">
      <c r="D92" s="20">
        <v>42811</v>
      </c>
      <c r="E92" s="21">
        <f t="shared" si="38"/>
        <v>50113.25</v>
      </c>
      <c r="F92" s="21">
        <v>0</v>
      </c>
      <c r="G92" s="21">
        <v>0</v>
      </c>
      <c r="H92" s="54">
        <v>3412.5</v>
      </c>
      <c r="I92" s="21">
        <f>H92*B12</f>
        <v>3412.5</v>
      </c>
      <c r="J92" s="42">
        <f t="shared" si="37"/>
        <v>3412.5</v>
      </c>
      <c r="K92" s="21">
        <f t="shared" si="39"/>
        <v>53525.75</v>
      </c>
      <c r="L92" s="49">
        <f t="shared" si="40"/>
        <v>6.8095763096586229E-2</v>
      </c>
      <c r="M92" s="3"/>
      <c r="O92" s="33"/>
      <c r="P92" s="24" t="s">
        <v>67</v>
      </c>
      <c r="Q92" s="74">
        <f t="shared" si="29"/>
        <v>238607.55000000002</v>
      </c>
      <c r="R92" s="24" t="s">
        <v>67</v>
      </c>
      <c r="S92" s="71">
        <f t="shared" ref="S92:S101" si="41">U92</f>
        <v>11257.5</v>
      </c>
      <c r="U92" s="71">
        <f t="shared" si="35"/>
        <v>11257.5</v>
      </c>
    </row>
    <row r="93" spans="4:21" ht="17.25" x14ac:dyDescent="0.3">
      <c r="D93" s="20">
        <v>42842</v>
      </c>
      <c r="E93" s="21">
        <f t="shared" si="38"/>
        <v>53525.75</v>
      </c>
      <c r="F93" s="21">
        <f t="shared" ref="F93:G101" si="42">F92</f>
        <v>0</v>
      </c>
      <c r="G93" s="21">
        <f t="shared" si="42"/>
        <v>0</v>
      </c>
      <c r="H93" s="54">
        <v>4751.5</v>
      </c>
      <c r="I93" s="21">
        <f>H93*B13</f>
        <v>7127.25</v>
      </c>
      <c r="J93" s="42">
        <f t="shared" si="37"/>
        <v>7127.25</v>
      </c>
      <c r="K93" s="21">
        <f t="shared" si="39"/>
        <v>60653</v>
      </c>
      <c r="L93" s="49">
        <f t="shared" si="40"/>
        <v>0.13315553728812768</v>
      </c>
      <c r="M93" s="3"/>
      <c r="O93" s="33"/>
      <c r="P93" s="24" t="s">
        <v>68</v>
      </c>
      <c r="Q93" s="74">
        <f t="shared" si="29"/>
        <v>241943.05000000002</v>
      </c>
      <c r="R93" s="24" t="s">
        <v>68</v>
      </c>
      <c r="S93" s="71">
        <f t="shared" si="41"/>
        <v>3335.5</v>
      </c>
      <c r="U93" s="71">
        <f t="shared" si="35"/>
        <v>3335.5</v>
      </c>
    </row>
    <row r="94" spans="4:21" ht="17.25" x14ac:dyDescent="0.3">
      <c r="D94" s="20">
        <v>42872</v>
      </c>
      <c r="E94" s="21">
        <f t="shared" si="38"/>
        <v>60653</v>
      </c>
      <c r="F94" s="21">
        <f t="shared" si="42"/>
        <v>0</v>
      </c>
      <c r="G94" s="21">
        <f t="shared" si="42"/>
        <v>0</v>
      </c>
      <c r="H94" s="54">
        <v>3825.5</v>
      </c>
      <c r="I94" s="21">
        <f>H94*B12</f>
        <v>3825.5</v>
      </c>
      <c r="J94" s="42">
        <f t="shared" si="37"/>
        <v>3825.5</v>
      </c>
      <c r="K94" s="21">
        <f t="shared" si="39"/>
        <v>64478.5</v>
      </c>
      <c r="L94" s="49">
        <f t="shared" si="40"/>
        <v>6.3071900812820464E-2</v>
      </c>
      <c r="M94" s="3"/>
      <c r="O94" s="33"/>
      <c r="P94" s="24" t="s">
        <v>74</v>
      </c>
      <c r="Q94" s="74">
        <f t="shared" si="29"/>
        <v>260898.79</v>
      </c>
      <c r="R94" s="24" t="s">
        <v>74</v>
      </c>
      <c r="S94" s="71">
        <f t="shared" si="41"/>
        <v>18955.740000000002</v>
      </c>
      <c r="U94" s="71">
        <f t="shared" si="35"/>
        <v>18955.740000000002</v>
      </c>
    </row>
    <row r="95" spans="4:21" ht="17.25" x14ac:dyDescent="0.3">
      <c r="D95" s="20">
        <v>42903</v>
      </c>
      <c r="E95" s="21">
        <f t="shared" si="38"/>
        <v>64478.5</v>
      </c>
      <c r="F95" s="21">
        <f t="shared" si="42"/>
        <v>0</v>
      </c>
      <c r="G95" s="21">
        <f t="shared" si="42"/>
        <v>0</v>
      </c>
      <c r="H95" s="54">
        <v>3950</v>
      </c>
      <c r="I95" s="21">
        <f>H95*B12</f>
        <v>3950</v>
      </c>
      <c r="J95" s="42">
        <f t="shared" si="37"/>
        <v>3950</v>
      </c>
      <c r="K95" s="21">
        <f t="shared" si="39"/>
        <v>68428.5</v>
      </c>
      <c r="L95" s="49">
        <f t="shared" si="40"/>
        <v>6.1260730320959703E-2</v>
      </c>
      <c r="M95" s="3"/>
      <c r="O95" s="33"/>
      <c r="P95" s="24" t="s">
        <v>79</v>
      </c>
      <c r="Q95" s="74">
        <f t="shared" si="29"/>
        <v>268530.04000000004</v>
      </c>
      <c r="R95" s="24" t="s">
        <v>79</v>
      </c>
      <c r="S95" s="71">
        <f t="shared" si="41"/>
        <v>7631.25</v>
      </c>
      <c r="U95" s="71">
        <f t="shared" ref="U95:U101" si="43">I120</f>
        <v>7631.25</v>
      </c>
    </row>
    <row r="96" spans="4:21" ht="17.25" x14ac:dyDescent="0.3">
      <c r="D96" s="20">
        <v>42933</v>
      </c>
      <c r="E96" s="21">
        <f t="shared" si="38"/>
        <v>68428.5</v>
      </c>
      <c r="F96" s="21">
        <f t="shared" si="42"/>
        <v>0</v>
      </c>
      <c r="G96" s="21">
        <f t="shared" si="42"/>
        <v>0</v>
      </c>
      <c r="H96" s="54">
        <v>5775</v>
      </c>
      <c r="I96" s="21">
        <f>H96*B13</f>
        <v>8662.5</v>
      </c>
      <c r="J96" s="42">
        <f t="shared" si="37"/>
        <v>8662.5</v>
      </c>
      <c r="K96" s="21">
        <f t="shared" si="39"/>
        <v>77091</v>
      </c>
      <c r="L96" s="49">
        <f t="shared" si="40"/>
        <v>0.12659199017953046</v>
      </c>
      <c r="M96" s="3"/>
      <c r="O96" s="33"/>
      <c r="P96" s="24" t="s">
        <v>80</v>
      </c>
      <c r="Q96" s="74">
        <f t="shared" si="29"/>
        <v>273880.19000000006</v>
      </c>
      <c r="R96" s="24" t="s">
        <v>80</v>
      </c>
      <c r="S96" s="71">
        <f t="shared" si="41"/>
        <v>5350.15</v>
      </c>
      <c r="U96" s="71">
        <f t="shared" si="43"/>
        <v>5350.15</v>
      </c>
    </row>
    <row r="97" spans="4:21" ht="17.25" x14ac:dyDescent="0.3">
      <c r="D97" s="20">
        <v>42964</v>
      </c>
      <c r="E97" s="21">
        <f t="shared" si="38"/>
        <v>77091</v>
      </c>
      <c r="F97" s="21">
        <f t="shared" si="42"/>
        <v>0</v>
      </c>
      <c r="G97" s="21">
        <f t="shared" si="42"/>
        <v>0</v>
      </c>
      <c r="H97" s="54">
        <v>-1150</v>
      </c>
      <c r="I97" s="21">
        <f>H97*B12</f>
        <v>-1150</v>
      </c>
      <c r="J97" s="42">
        <f t="shared" si="37"/>
        <v>-1150</v>
      </c>
      <c r="K97" s="21">
        <f t="shared" si="39"/>
        <v>75941</v>
      </c>
      <c r="L97" s="49">
        <f t="shared" si="40"/>
        <v>-1.4917435238873539E-2</v>
      </c>
      <c r="M97" s="3"/>
      <c r="O97" s="33"/>
      <c r="P97" s="24" t="s">
        <v>81</v>
      </c>
      <c r="Q97" s="74">
        <f t="shared" si="29"/>
        <v>274806.07000000007</v>
      </c>
      <c r="R97" s="24" t="s">
        <v>81</v>
      </c>
      <c r="S97" s="71">
        <f t="shared" si="41"/>
        <v>925.88</v>
      </c>
      <c r="U97" s="71">
        <f t="shared" si="43"/>
        <v>925.88</v>
      </c>
    </row>
    <row r="98" spans="4:21" ht="17.25" x14ac:dyDescent="0.3">
      <c r="D98" s="20">
        <v>42995</v>
      </c>
      <c r="E98" s="21">
        <f t="shared" si="38"/>
        <v>75941</v>
      </c>
      <c r="F98" s="21">
        <f t="shared" si="42"/>
        <v>0</v>
      </c>
      <c r="G98" s="21">
        <f t="shared" si="42"/>
        <v>0</v>
      </c>
      <c r="H98" s="54">
        <v>3435</v>
      </c>
      <c r="I98" s="21">
        <f>H98*B13</f>
        <v>5152.5</v>
      </c>
      <c r="J98" s="42">
        <f t="shared" si="37"/>
        <v>5152.5</v>
      </c>
      <c r="K98" s="21">
        <f t="shared" si="39"/>
        <v>81093.5</v>
      </c>
      <c r="L98" s="49">
        <f t="shared" si="40"/>
        <v>6.7848724667834245E-2</v>
      </c>
      <c r="M98" s="3"/>
      <c r="O98" s="33"/>
      <c r="P98" s="24" t="s">
        <v>82</v>
      </c>
      <c r="Q98" s="74">
        <f t="shared" si="29"/>
        <v>279829.41000000009</v>
      </c>
      <c r="R98" s="24" t="s">
        <v>82</v>
      </c>
      <c r="S98" s="71">
        <f t="shared" si="41"/>
        <v>5023.34</v>
      </c>
      <c r="U98" s="71">
        <f t="shared" si="43"/>
        <v>5023.34</v>
      </c>
    </row>
    <row r="99" spans="4:21" ht="17.25" x14ac:dyDescent="0.3">
      <c r="D99" s="20">
        <v>43025</v>
      </c>
      <c r="E99" s="21">
        <f t="shared" si="38"/>
        <v>81093.5</v>
      </c>
      <c r="F99" s="21">
        <f t="shared" si="42"/>
        <v>0</v>
      </c>
      <c r="G99" s="21">
        <f t="shared" si="42"/>
        <v>0</v>
      </c>
      <c r="H99" s="54">
        <v>-2274</v>
      </c>
      <c r="I99" s="21">
        <f>H99*B12</f>
        <v>-2274</v>
      </c>
      <c r="J99" s="42">
        <f t="shared" si="37"/>
        <v>-2274</v>
      </c>
      <c r="K99" s="21">
        <f t="shared" si="39"/>
        <v>78819.5</v>
      </c>
      <c r="L99" s="49">
        <f t="shared" si="40"/>
        <v>-2.8041704945525842E-2</v>
      </c>
      <c r="M99" s="3"/>
      <c r="O99" s="33"/>
      <c r="P99" s="24" t="s">
        <v>83</v>
      </c>
      <c r="Q99" s="74">
        <f t="shared" si="29"/>
        <v>282955.2900000001</v>
      </c>
      <c r="R99" s="24" t="s">
        <v>83</v>
      </c>
      <c r="S99" s="71">
        <f t="shared" si="41"/>
        <v>3125.88</v>
      </c>
      <c r="U99" s="71">
        <f t="shared" si="43"/>
        <v>3125.88</v>
      </c>
    </row>
    <row r="100" spans="4:21" ht="17.25" x14ac:dyDescent="0.3">
      <c r="D100" s="20">
        <v>43056</v>
      </c>
      <c r="E100" s="21">
        <f t="shared" si="38"/>
        <v>78819.5</v>
      </c>
      <c r="F100" s="21">
        <f t="shared" si="42"/>
        <v>0</v>
      </c>
      <c r="G100" s="21">
        <f t="shared" si="42"/>
        <v>0</v>
      </c>
      <c r="H100" s="54">
        <v>4910</v>
      </c>
      <c r="I100" s="21">
        <f>H100*B13</f>
        <v>7365</v>
      </c>
      <c r="J100" s="42">
        <f t="shared" si="37"/>
        <v>7365</v>
      </c>
      <c r="K100" s="21">
        <f t="shared" si="39"/>
        <v>86184.5</v>
      </c>
      <c r="L100" s="49">
        <f t="shared" si="40"/>
        <v>9.3441343829889806E-2</v>
      </c>
      <c r="M100" s="3"/>
      <c r="O100" s="33"/>
      <c r="P100" s="24" t="s">
        <v>84</v>
      </c>
      <c r="Q100" s="74">
        <f t="shared" si="29"/>
        <v>287706.64000000007</v>
      </c>
      <c r="R100" s="24" t="s">
        <v>84</v>
      </c>
      <c r="S100" s="71">
        <f t="shared" si="41"/>
        <v>4751.3500000000004</v>
      </c>
      <c r="U100" s="71">
        <f t="shared" si="43"/>
        <v>4751.3500000000004</v>
      </c>
    </row>
    <row r="101" spans="4:21" ht="17.25" x14ac:dyDescent="0.3">
      <c r="D101" s="20">
        <v>43086</v>
      </c>
      <c r="E101" s="21">
        <f t="shared" si="38"/>
        <v>86184.5</v>
      </c>
      <c r="F101" s="21">
        <f t="shared" si="42"/>
        <v>0</v>
      </c>
      <c r="G101" s="21">
        <f t="shared" si="42"/>
        <v>0</v>
      </c>
      <c r="H101" s="54">
        <v>-3104.5</v>
      </c>
      <c r="I101" s="21">
        <f>H101*B12</f>
        <v>-3104.5</v>
      </c>
      <c r="J101" s="42">
        <f t="shared" si="37"/>
        <v>-3104.5</v>
      </c>
      <c r="K101" s="21">
        <f t="shared" si="39"/>
        <v>83080</v>
      </c>
      <c r="L101" s="49">
        <f t="shared" si="40"/>
        <v>-3.6021558400872546E-2</v>
      </c>
      <c r="M101" s="3"/>
      <c r="N101" s="29">
        <v>12</v>
      </c>
      <c r="O101" s="33"/>
      <c r="P101" s="24" t="s">
        <v>85</v>
      </c>
      <c r="Q101" s="74">
        <f t="shared" si="29"/>
        <v>288244.01000000007</v>
      </c>
      <c r="R101" s="24" t="s">
        <v>85</v>
      </c>
      <c r="S101" s="71">
        <f t="shared" si="41"/>
        <v>537.37</v>
      </c>
      <c r="U101" s="71">
        <f t="shared" si="43"/>
        <v>537.37</v>
      </c>
    </row>
    <row r="102" spans="4:21" ht="17.25" x14ac:dyDescent="0.3">
      <c r="D102" s="19"/>
      <c r="E102" s="19"/>
      <c r="F102" s="19"/>
      <c r="G102" s="19"/>
      <c r="H102" s="55" t="s">
        <v>11</v>
      </c>
      <c r="I102" s="19" t="s">
        <v>11</v>
      </c>
      <c r="K102" s="19"/>
      <c r="L102" s="50" t="s">
        <v>12</v>
      </c>
      <c r="M102" s="3"/>
      <c r="O102" s="33"/>
      <c r="P102" s="24" t="s">
        <v>95</v>
      </c>
      <c r="Q102" s="74">
        <f t="shared" ref="Q102:Q112" si="44">U102+Q101</f>
        <v>286818.78000000009</v>
      </c>
      <c r="R102" s="24" t="s">
        <v>95</v>
      </c>
      <c r="S102" s="71"/>
      <c r="T102" s="71">
        <f>U102</f>
        <v>-1425.23</v>
      </c>
      <c r="U102" s="71">
        <f>I127</f>
        <v>-1425.23</v>
      </c>
    </row>
    <row r="103" spans="4:21" ht="17.25" x14ac:dyDescent="0.3">
      <c r="D103" s="19"/>
      <c r="E103" s="19"/>
      <c r="F103" s="19"/>
      <c r="G103" s="19"/>
      <c r="H103" s="56">
        <f>SUM(H90:H102)</f>
        <v>23606.5</v>
      </c>
      <c r="I103" s="22">
        <f>SUM(I90:I102)</f>
        <v>33080</v>
      </c>
      <c r="J103" s="42"/>
      <c r="K103" s="23"/>
      <c r="L103" s="51">
        <f>I103/B11</f>
        <v>0.94514285714285717</v>
      </c>
      <c r="M103" s="76">
        <f>I103</f>
        <v>33080</v>
      </c>
      <c r="O103" s="33"/>
      <c r="P103" s="24" t="s">
        <v>96</v>
      </c>
      <c r="Q103" s="74">
        <f t="shared" si="44"/>
        <v>290694.26000000007</v>
      </c>
      <c r="R103" s="24" t="s">
        <v>96</v>
      </c>
      <c r="S103" s="71">
        <f>U103</f>
        <v>3875.48</v>
      </c>
      <c r="U103" s="71">
        <f>I128</f>
        <v>3875.48</v>
      </c>
    </row>
    <row r="104" spans="4:21" ht="17.25" x14ac:dyDescent="0.3">
      <c r="D104" s="19"/>
      <c r="E104" s="19"/>
      <c r="F104" s="19"/>
      <c r="G104" s="19"/>
      <c r="H104" s="56"/>
      <c r="I104" s="22"/>
      <c r="J104" s="45"/>
      <c r="K104" s="23"/>
      <c r="L104" s="51"/>
      <c r="M104" s="3"/>
      <c r="O104" s="33"/>
      <c r="P104" s="24" t="s">
        <v>97</v>
      </c>
      <c r="Q104" s="74">
        <f t="shared" si="44"/>
        <v>297407.70000000007</v>
      </c>
      <c r="R104" s="24" t="s">
        <v>97</v>
      </c>
      <c r="S104" s="71">
        <f>U104</f>
        <v>6713.44</v>
      </c>
      <c r="U104" s="71">
        <f>I129</f>
        <v>6713.44</v>
      </c>
    </row>
    <row r="105" spans="4:21" ht="17.25" x14ac:dyDescent="0.3">
      <c r="D105" s="24" t="s">
        <v>42</v>
      </c>
      <c r="E105" s="21">
        <f>E90</f>
        <v>50000</v>
      </c>
      <c r="F105" s="21">
        <v>0</v>
      </c>
      <c r="G105" s="21">
        <f>-I103</f>
        <v>-33080</v>
      </c>
      <c r="H105" s="54">
        <v>11876.44</v>
      </c>
      <c r="I105" s="21">
        <f>H105*B12</f>
        <v>11876.44</v>
      </c>
      <c r="J105" s="42">
        <f t="shared" ref="J105:J115" si="45">I105</f>
        <v>11876.44</v>
      </c>
      <c r="K105" s="21">
        <f>B11+H105</f>
        <v>46876.44</v>
      </c>
      <c r="L105" s="49">
        <f>I105/B11</f>
        <v>0.33932685714285715</v>
      </c>
      <c r="M105" s="3"/>
      <c r="O105" s="33"/>
      <c r="P105" s="72">
        <v>43788</v>
      </c>
      <c r="Q105" s="74">
        <f t="shared" si="44"/>
        <v>302077.50000000006</v>
      </c>
      <c r="R105" s="72">
        <v>43788</v>
      </c>
      <c r="S105" s="71">
        <f>U105</f>
        <v>4669.8</v>
      </c>
      <c r="U105" s="71">
        <f>I130</f>
        <v>4669.8</v>
      </c>
    </row>
    <row r="106" spans="4:21" ht="17.25" x14ac:dyDescent="0.3">
      <c r="D106" s="24" t="s">
        <v>53</v>
      </c>
      <c r="E106" s="21">
        <f t="shared" ref="E106:E115" si="46">K105</f>
        <v>46876.44</v>
      </c>
      <c r="F106" s="21">
        <f>F100</f>
        <v>0</v>
      </c>
      <c r="G106" s="21">
        <f>G100</f>
        <v>0</v>
      </c>
      <c r="H106" s="54">
        <v>4375.5</v>
      </c>
      <c r="I106" s="21">
        <f>H106*B13</f>
        <v>6563.25</v>
      </c>
      <c r="J106" s="42">
        <f t="shared" si="45"/>
        <v>6563.25</v>
      </c>
      <c r="K106" s="21">
        <f t="shared" ref="K106:K115" si="47">K105+I106</f>
        <v>53439.69</v>
      </c>
      <c r="L106" s="49">
        <f t="shared" ref="L106:L115" si="48">I106/K105</f>
        <v>0.1400116988406116</v>
      </c>
      <c r="M106" s="3"/>
      <c r="O106" s="33"/>
      <c r="P106" s="72">
        <v>43818</v>
      </c>
      <c r="Q106" s="74">
        <f t="shared" si="44"/>
        <v>305629.98000000004</v>
      </c>
      <c r="R106" s="72">
        <v>43818</v>
      </c>
      <c r="S106" s="71">
        <f>U106</f>
        <v>3552.48</v>
      </c>
      <c r="U106" s="71">
        <f>I131</f>
        <v>3552.48</v>
      </c>
    </row>
    <row r="107" spans="4:21" ht="17.25" x14ac:dyDescent="0.3">
      <c r="D107" s="24" t="s">
        <v>59</v>
      </c>
      <c r="E107" s="21">
        <f t="shared" si="46"/>
        <v>53439.69</v>
      </c>
      <c r="F107" s="21">
        <f>F101</f>
        <v>0</v>
      </c>
      <c r="G107" s="21">
        <f>G101</f>
        <v>0</v>
      </c>
      <c r="H107" s="54">
        <v>1774.5</v>
      </c>
      <c r="I107" s="21">
        <f>H107*B12</f>
        <v>1774.5</v>
      </c>
      <c r="J107" s="42">
        <f t="shared" si="45"/>
        <v>1774.5</v>
      </c>
      <c r="K107" s="21">
        <f t="shared" si="47"/>
        <v>55214.19</v>
      </c>
      <c r="L107" s="49">
        <f t="shared" si="48"/>
        <v>3.3205656694490555E-2</v>
      </c>
      <c r="M107" s="3"/>
      <c r="O107" s="33"/>
      <c r="P107" s="72">
        <v>43850</v>
      </c>
      <c r="Q107" s="74">
        <f t="shared" si="44"/>
        <v>304391.81000000006</v>
      </c>
      <c r="R107" s="72">
        <v>43850</v>
      </c>
      <c r="S107" s="71"/>
      <c r="T107" s="71">
        <f>U107</f>
        <v>-1238.17</v>
      </c>
      <c r="U107" s="71">
        <f t="shared" ref="U107:U112" si="49">I135</f>
        <v>-1238.17</v>
      </c>
    </row>
    <row r="108" spans="4:21" ht="17.25" x14ac:dyDescent="0.3">
      <c r="D108" s="24" t="s">
        <v>60</v>
      </c>
      <c r="E108" s="21">
        <f t="shared" si="46"/>
        <v>55214.19</v>
      </c>
      <c r="F108" s="21">
        <f>F106</f>
        <v>0</v>
      </c>
      <c r="G108" s="21">
        <f>G107</f>
        <v>0</v>
      </c>
      <c r="H108" s="54">
        <v>-2750</v>
      </c>
      <c r="I108" s="21">
        <f>H108*B13</f>
        <v>-4125</v>
      </c>
      <c r="J108" s="42">
        <f t="shared" si="45"/>
        <v>-4125</v>
      </c>
      <c r="K108" s="21">
        <f t="shared" si="47"/>
        <v>51089.19</v>
      </c>
      <c r="L108" s="49">
        <f t="shared" si="48"/>
        <v>-7.4709055769902624E-2</v>
      </c>
      <c r="M108" s="3"/>
      <c r="O108" s="33"/>
      <c r="P108" s="72">
        <v>43881</v>
      </c>
      <c r="Q108" s="74">
        <f t="shared" si="44"/>
        <v>317774.06000000006</v>
      </c>
      <c r="R108" s="72">
        <f t="shared" ref="R108:R112" si="50">P108</f>
        <v>43881</v>
      </c>
      <c r="S108" s="71">
        <f>U108</f>
        <v>13382.25</v>
      </c>
      <c r="U108" s="71">
        <f t="shared" si="49"/>
        <v>13382.25</v>
      </c>
    </row>
    <row r="109" spans="4:21" ht="17.25" x14ac:dyDescent="0.3">
      <c r="D109" s="24" t="s">
        <v>62</v>
      </c>
      <c r="E109" s="21">
        <f t="shared" si="46"/>
        <v>51089.19</v>
      </c>
      <c r="F109" s="21">
        <f>F107</f>
        <v>0</v>
      </c>
      <c r="G109" s="21">
        <f>G108</f>
        <v>0</v>
      </c>
      <c r="H109" s="54">
        <v>-2245</v>
      </c>
      <c r="I109" s="21">
        <f>H109*B12</f>
        <v>-2245</v>
      </c>
      <c r="J109" s="42">
        <f t="shared" si="45"/>
        <v>-2245</v>
      </c>
      <c r="K109" s="21">
        <f t="shared" si="47"/>
        <v>48844.19</v>
      </c>
      <c r="L109" s="49">
        <f t="shared" si="48"/>
        <v>-4.3942759711007355E-2</v>
      </c>
      <c r="M109" s="3"/>
      <c r="O109" s="33"/>
      <c r="P109" s="72">
        <f t="shared" ref="P109:P118" si="51">D137</f>
        <v>43910</v>
      </c>
      <c r="Q109" s="74">
        <f t="shared" si="44"/>
        <v>336679.12000000005</v>
      </c>
      <c r="R109" s="72">
        <f t="shared" si="50"/>
        <v>43910</v>
      </c>
      <c r="S109" s="71">
        <f>U109</f>
        <v>18905.060000000001</v>
      </c>
      <c r="U109" s="71">
        <f t="shared" si="49"/>
        <v>18905.060000000001</v>
      </c>
    </row>
    <row r="110" spans="4:21" ht="17.25" x14ac:dyDescent="0.3">
      <c r="D110" s="24" t="s">
        <v>63</v>
      </c>
      <c r="E110" s="21">
        <f t="shared" si="46"/>
        <v>48844.19</v>
      </c>
      <c r="F110" s="21">
        <f>F108</f>
        <v>0</v>
      </c>
      <c r="G110" s="21">
        <f>G109</f>
        <v>0</v>
      </c>
      <c r="H110" s="54">
        <v>3421.36</v>
      </c>
      <c r="I110" s="21">
        <f>H110*B13</f>
        <v>5132.04</v>
      </c>
      <c r="J110" s="42">
        <f t="shared" si="45"/>
        <v>5132.04</v>
      </c>
      <c r="K110" s="21">
        <f t="shared" si="47"/>
        <v>53976.23</v>
      </c>
      <c r="L110" s="49">
        <f t="shared" si="48"/>
        <v>0.10506961012149039</v>
      </c>
      <c r="M110" s="3"/>
      <c r="O110" s="33"/>
      <c r="P110" s="72">
        <f t="shared" si="51"/>
        <v>43941</v>
      </c>
      <c r="Q110" s="74">
        <f t="shared" si="44"/>
        <v>336301.12000000005</v>
      </c>
      <c r="R110" s="72">
        <f t="shared" si="50"/>
        <v>43941</v>
      </c>
      <c r="S110" s="71"/>
      <c r="T110" s="71">
        <f>U110</f>
        <v>-378</v>
      </c>
      <c r="U110" s="71">
        <f t="shared" si="49"/>
        <v>-378</v>
      </c>
    </row>
    <row r="111" spans="4:21" ht="17.25" x14ac:dyDescent="0.3">
      <c r="D111" s="24" t="s">
        <v>64</v>
      </c>
      <c r="E111" s="21">
        <f t="shared" si="46"/>
        <v>53976.23</v>
      </c>
      <c r="F111" s="21">
        <f>F108</f>
        <v>0</v>
      </c>
      <c r="G111" s="21">
        <f>G109</f>
        <v>0</v>
      </c>
      <c r="H111" s="54">
        <v>4625.3100000000004</v>
      </c>
      <c r="I111" s="21">
        <f>H111*B12</f>
        <v>4625.3100000000004</v>
      </c>
      <c r="J111" s="42">
        <f t="shared" si="45"/>
        <v>4625.3100000000004</v>
      </c>
      <c r="K111" s="21">
        <f t="shared" si="47"/>
        <v>58601.54</v>
      </c>
      <c r="L111" s="49">
        <f t="shared" si="48"/>
        <v>8.5691609065694285E-2</v>
      </c>
      <c r="M111" s="3"/>
      <c r="O111" s="33"/>
      <c r="P111" s="72">
        <f t="shared" si="51"/>
        <v>43971</v>
      </c>
      <c r="Q111" s="74">
        <f t="shared" si="44"/>
        <v>334786.49000000005</v>
      </c>
      <c r="R111" s="72">
        <f t="shared" si="50"/>
        <v>43971</v>
      </c>
      <c r="S111" s="71"/>
      <c r="T111" s="71">
        <f>U111</f>
        <v>-1514.63</v>
      </c>
      <c r="U111" s="71">
        <f t="shared" si="49"/>
        <v>-1514.63</v>
      </c>
    </row>
    <row r="112" spans="4:21" ht="17.25" x14ac:dyDescent="0.3">
      <c r="D112" s="24" t="s">
        <v>65</v>
      </c>
      <c r="E112" s="21">
        <f t="shared" si="46"/>
        <v>58601.54</v>
      </c>
      <c r="F112" s="21">
        <f>F109</f>
        <v>0</v>
      </c>
      <c r="G112" s="21">
        <f>G110</f>
        <v>0</v>
      </c>
      <c r="H112" s="54">
        <v>-4342.7</v>
      </c>
      <c r="I112" s="21">
        <f>H112*B13</f>
        <v>-6514.0499999999993</v>
      </c>
      <c r="J112" s="42">
        <f t="shared" si="45"/>
        <v>-6514.0499999999993</v>
      </c>
      <c r="K112" s="21">
        <f t="shared" si="47"/>
        <v>52087.490000000005</v>
      </c>
      <c r="L112" s="49">
        <f t="shared" si="48"/>
        <v>-0.11115834157259347</v>
      </c>
      <c r="M112" s="3"/>
      <c r="O112" s="33"/>
      <c r="P112" s="72">
        <f t="shared" si="51"/>
        <v>44002</v>
      </c>
      <c r="Q112" s="74">
        <f t="shared" si="44"/>
        <v>333481.21000000002</v>
      </c>
      <c r="R112" s="72">
        <f t="shared" si="50"/>
        <v>44002</v>
      </c>
      <c r="S112" s="71"/>
      <c r="T112" s="71">
        <f>U112</f>
        <v>-1305.28</v>
      </c>
      <c r="U112" s="71">
        <f t="shared" si="49"/>
        <v>-1305.28</v>
      </c>
    </row>
    <row r="113" spans="4:27" ht="17.25" x14ac:dyDescent="0.3">
      <c r="D113" s="24" t="s">
        <v>66</v>
      </c>
      <c r="E113" s="21">
        <f t="shared" si="46"/>
        <v>52087.490000000005</v>
      </c>
      <c r="F113" s="21">
        <v>0</v>
      </c>
      <c r="G113" s="21">
        <v>0</v>
      </c>
      <c r="H113" s="54">
        <v>-3239.44</v>
      </c>
      <c r="I113" s="21">
        <f>H113*B12</f>
        <v>-3239.44</v>
      </c>
      <c r="J113" s="42">
        <f t="shared" si="45"/>
        <v>-3239.44</v>
      </c>
      <c r="K113" s="21">
        <f t="shared" si="47"/>
        <v>48848.05</v>
      </c>
      <c r="L113" s="49">
        <f t="shared" si="48"/>
        <v>-6.2192284558153975E-2</v>
      </c>
      <c r="M113" s="3"/>
      <c r="O113" s="33"/>
      <c r="P113" s="72">
        <f t="shared" si="51"/>
        <v>44032</v>
      </c>
      <c r="Q113" s="74">
        <f t="shared" ref="Q113:Q120" si="52">U113+Q112</f>
        <v>333965.46000000002</v>
      </c>
      <c r="R113" s="72">
        <f t="shared" ref="R113:R120" si="53">P113</f>
        <v>44032</v>
      </c>
      <c r="S113" s="71">
        <f>U113</f>
        <v>484.25</v>
      </c>
      <c r="U113" s="71">
        <f t="shared" ref="U113:U117" si="54">I141</f>
        <v>484.25</v>
      </c>
    </row>
    <row r="114" spans="4:27" ht="17.25" x14ac:dyDescent="0.3">
      <c r="D114" s="24" t="s">
        <v>67</v>
      </c>
      <c r="E114" s="21">
        <f t="shared" si="46"/>
        <v>48848.05</v>
      </c>
      <c r="F114" s="21">
        <v>0</v>
      </c>
      <c r="G114" s="21">
        <v>0</v>
      </c>
      <c r="H114" s="54">
        <v>7505</v>
      </c>
      <c r="I114" s="21">
        <f>H114*B13</f>
        <v>11257.5</v>
      </c>
      <c r="J114" s="42">
        <f t="shared" si="45"/>
        <v>11257.5</v>
      </c>
      <c r="K114" s="21">
        <f t="shared" si="47"/>
        <v>60105.55</v>
      </c>
      <c r="L114" s="49">
        <f t="shared" si="48"/>
        <v>0.23045955775102586</v>
      </c>
      <c r="M114" s="3"/>
      <c r="O114" s="33"/>
      <c r="P114" s="72">
        <f t="shared" si="51"/>
        <v>44063</v>
      </c>
      <c r="Q114" s="74">
        <f t="shared" si="52"/>
        <v>334369.65000000002</v>
      </c>
      <c r="R114" s="72">
        <f t="shared" si="53"/>
        <v>44063</v>
      </c>
      <c r="S114" s="71">
        <f>U114</f>
        <v>404.19</v>
      </c>
      <c r="U114" s="71">
        <f t="shared" si="54"/>
        <v>404.19</v>
      </c>
    </row>
    <row r="115" spans="4:27" ht="17.25" x14ac:dyDescent="0.3">
      <c r="D115" s="24" t="s">
        <v>68</v>
      </c>
      <c r="E115" s="21">
        <f t="shared" si="46"/>
        <v>60105.55</v>
      </c>
      <c r="F115" s="21">
        <v>0</v>
      </c>
      <c r="G115" s="21">
        <v>0</v>
      </c>
      <c r="H115" s="54">
        <v>3335.5</v>
      </c>
      <c r="I115" s="21">
        <f>H115*B12</f>
        <v>3335.5</v>
      </c>
      <c r="J115" s="42">
        <f t="shared" si="45"/>
        <v>3335.5</v>
      </c>
      <c r="K115" s="21">
        <f t="shared" si="47"/>
        <v>63441.05</v>
      </c>
      <c r="L115" s="49">
        <f t="shared" si="48"/>
        <v>5.5494043395327049E-2</v>
      </c>
      <c r="M115" s="3"/>
      <c r="O115" s="33"/>
      <c r="P115" s="72">
        <f t="shared" si="51"/>
        <v>44094</v>
      </c>
      <c r="Q115" s="74">
        <f t="shared" si="52"/>
        <v>331767.40000000002</v>
      </c>
      <c r="R115" s="72">
        <f t="shared" si="53"/>
        <v>44094</v>
      </c>
      <c r="S115" s="71"/>
      <c r="T115" s="71">
        <f>U115</f>
        <v>-2602.25</v>
      </c>
      <c r="U115" s="71">
        <f t="shared" si="54"/>
        <v>-2602.25</v>
      </c>
    </row>
    <row r="116" spans="4:27" ht="17.25" x14ac:dyDescent="0.3">
      <c r="D116" s="24" t="s">
        <v>74</v>
      </c>
      <c r="E116" s="21">
        <f t="shared" ref="E116" si="55">K115</f>
        <v>63441.05</v>
      </c>
      <c r="F116" s="21">
        <v>0</v>
      </c>
      <c r="G116" s="21">
        <v>0</v>
      </c>
      <c r="H116" s="54">
        <v>3335.5</v>
      </c>
      <c r="I116" s="21">
        <v>18955.740000000002</v>
      </c>
      <c r="J116" s="42">
        <f t="shared" ref="J116" si="56">I116</f>
        <v>18955.740000000002</v>
      </c>
      <c r="K116" s="21">
        <f t="shared" ref="K116" si="57">K115+I116</f>
        <v>82396.790000000008</v>
      </c>
      <c r="L116" s="49">
        <f t="shared" ref="L116" si="58">I116/K115</f>
        <v>0.29879297394983217</v>
      </c>
      <c r="M116" s="3"/>
      <c r="O116" s="33"/>
      <c r="P116" s="72">
        <f t="shared" si="51"/>
        <v>44124</v>
      </c>
      <c r="Q116" s="74">
        <f t="shared" si="52"/>
        <v>331116.89</v>
      </c>
      <c r="R116" s="72">
        <f t="shared" si="53"/>
        <v>44124</v>
      </c>
      <c r="S116" s="71"/>
      <c r="T116" s="71"/>
      <c r="U116" s="71">
        <f t="shared" si="54"/>
        <v>-650.51</v>
      </c>
    </row>
    <row r="117" spans="4:27" ht="17.25" x14ac:dyDescent="0.3">
      <c r="D117" s="19"/>
      <c r="E117" s="19"/>
      <c r="F117" s="19"/>
      <c r="G117" s="19"/>
      <c r="H117" s="55" t="s">
        <v>11</v>
      </c>
      <c r="I117" s="19" t="s">
        <v>11</v>
      </c>
      <c r="K117" s="19"/>
      <c r="L117" s="50" t="s">
        <v>12</v>
      </c>
      <c r="M117" s="3"/>
      <c r="O117" s="33"/>
      <c r="P117" s="72">
        <f t="shared" si="51"/>
        <v>44155</v>
      </c>
      <c r="Q117" s="74">
        <f t="shared" si="52"/>
        <v>331116.89</v>
      </c>
      <c r="R117" s="72">
        <f t="shared" si="53"/>
        <v>44155</v>
      </c>
      <c r="S117" s="71">
        <f t="shared" ref="S117:S125" si="59">U117</f>
        <v>0</v>
      </c>
      <c r="T117" s="71"/>
      <c r="U117" s="71">
        <f t="shared" si="54"/>
        <v>0</v>
      </c>
    </row>
    <row r="118" spans="4:27" ht="17.25" x14ac:dyDescent="0.3">
      <c r="D118" s="19"/>
      <c r="E118" s="19"/>
      <c r="F118" s="19"/>
      <c r="G118" s="19"/>
      <c r="H118" s="56">
        <f>SUM(H105:H117)</f>
        <v>27671.97</v>
      </c>
      <c r="I118" s="22">
        <f>SUM(I105:I117)</f>
        <v>47396.790000000008</v>
      </c>
      <c r="J118" s="42"/>
      <c r="K118" s="23"/>
      <c r="L118" s="51">
        <f>I118/B11</f>
        <v>1.3541940000000003</v>
      </c>
      <c r="M118" s="76">
        <f>I118</f>
        <v>47396.790000000008</v>
      </c>
      <c r="N118" s="29">
        <v>12</v>
      </c>
      <c r="O118" s="33"/>
      <c r="P118" s="72">
        <f t="shared" si="51"/>
        <v>44550</v>
      </c>
      <c r="Q118" s="74">
        <f t="shared" si="52"/>
        <v>331363.64</v>
      </c>
      <c r="R118" s="72">
        <f t="shared" si="53"/>
        <v>44550</v>
      </c>
      <c r="S118" s="71">
        <f t="shared" si="59"/>
        <v>246.75</v>
      </c>
      <c r="T118" s="71"/>
      <c r="U118" s="71">
        <f>I146</f>
        <v>246.75</v>
      </c>
    </row>
    <row r="119" spans="4:27" ht="17.25" x14ac:dyDescent="0.3">
      <c r="D119" s="19"/>
      <c r="E119" s="19"/>
      <c r="F119" s="19"/>
      <c r="G119" s="19"/>
      <c r="H119" s="56"/>
      <c r="I119" s="22"/>
      <c r="J119" s="42"/>
      <c r="K119" s="23"/>
      <c r="L119" s="51"/>
      <c r="M119" s="76"/>
      <c r="O119" s="33"/>
      <c r="P119" s="72">
        <f t="shared" ref="P119:P124" si="60">D150</f>
        <v>44217</v>
      </c>
      <c r="Q119" s="74">
        <f t="shared" si="52"/>
        <v>331402.14</v>
      </c>
      <c r="R119" s="72">
        <f t="shared" si="53"/>
        <v>44217</v>
      </c>
      <c r="S119" s="71">
        <f t="shared" si="59"/>
        <v>38.5</v>
      </c>
      <c r="T119" s="71"/>
      <c r="U119" s="71">
        <f t="shared" ref="U119:U125" si="61">I150</f>
        <v>38.5</v>
      </c>
    </row>
    <row r="120" spans="4:27" ht="17.25" x14ac:dyDescent="0.3">
      <c r="D120" s="24" t="s">
        <v>79</v>
      </c>
      <c r="E120" s="21">
        <f>E105</f>
        <v>50000</v>
      </c>
      <c r="F120" s="21">
        <v>0</v>
      </c>
      <c r="G120" s="21">
        <f>-I118</f>
        <v>-47396.790000000008</v>
      </c>
      <c r="H120" s="54">
        <v>11876.44</v>
      </c>
      <c r="I120" s="21">
        <v>7631.25</v>
      </c>
      <c r="J120" s="42">
        <f t="shared" ref="J120" si="62">I120</f>
        <v>7631.25</v>
      </c>
      <c r="K120" s="21">
        <f>E120+I120</f>
        <v>57631.25</v>
      </c>
      <c r="L120" s="49">
        <f t="shared" ref="L120:L131" si="63">I120/E120</f>
        <v>0.15262500000000001</v>
      </c>
      <c r="M120" s="76"/>
      <c r="O120" s="33"/>
      <c r="P120" s="72">
        <f t="shared" si="60"/>
        <v>44248</v>
      </c>
      <c r="Q120" s="74">
        <f t="shared" si="52"/>
        <v>333352.14</v>
      </c>
      <c r="R120" s="72">
        <f t="shared" si="53"/>
        <v>44248</v>
      </c>
      <c r="S120" s="71">
        <f t="shared" si="59"/>
        <v>1950</v>
      </c>
      <c r="T120" s="71"/>
      <c r="U120" s="71">
        <f t="shared" si="61"/>
        <v>1950</v>
      </c>
    </row>
    <row r="121" spans="4:27" ht="17.25" x14ac:dyDescent="0.3">
      <c r="D121" s="24" t="s">
        <v>80</v>
      </c>
      <c r="E121" s="21">
        <f t="shared" ref="E121:E131" si="64">K120</f>
        <v>57631.25</v>
      </c>
      <c r="F121" s="21">
        <f t="shared" ref="F121:G131" si="65">F120</f>
        <v>0</v>
      </c>
      <c r="G121" s="21">
        <f>F121</f>
        <v>0</v>
      </c>
      <c r="H121" s="54"/>
      <c r="I121" s="21">
        <v>5350.15</v>
      </c>
      <c r="J121" s="42"/>
      <c r="K121" s="21">
        <f t="shared" ref="K121:K131" si="66">I121+E121</f>
        <v>62981.4</v>
      </c>
      <c r="L121" s="49">
        <f t="shared" si="63"/>
        <v>9.2834182843509375E-2</v>
      </c>
      <c r="M121" s="76"/>
      <c r="O121" s="33"/>
      <c r="P121" s="72">
        <f t="shared" si="60"/>
        <v>44276</v>
      </c>
      <c r="Q121" s="74">
        <f t="shared" ref="Q121:Q125" si="67">U121+Q120</f>
        <v>334268.64</v>
      </c>
      <c r="R121" s="72">
        <f t="shared" ref="R121:R125" si="68">P121</f>
        <v>44276</v>
      </c>
      <c r="S121" s="71">
        <f t="shared" si="59"/>
        <v>916.5</v>
      </c>
      <c r="T121" s="71"/>
      <c r="U121" s="71">
        <f t="shared" si="61"/>
        <v>916.5</v>
      </c>
    </row>
    <row r="122" spans="4:27" ht="17.25" x14ac:dyDescent="0.3">
      <c r="D122" s="24" t="s">
        <v>81</v>
      </c>
      <c r="E122" s="21">
        <f t="shared" si="64"/>
        <v>62981.4</v>
      </c>
      <c r="F122" s="21">
        <f t="shared" si="65"/>
        <v>0</v>
      </c>
      <c r="G122" s="21">
        <f>F122</f>
        <v>0</v>
      </c>
      <c r="H122" s="54"/>
      <c r="I122" s="21">
        <v>925.88</v>
      </c>
      <c r="J122" s="42"/>
      <c r="K122" s="21">
        <f t="shared" si="66"/>
        <v>63907.28</v>
      </c>
      <c r="L122" s="49">
        <f t="shared" si="63"/>
        <v>1.4700848186925028E-2</v>
      </c>
      <c r="M122" s="76"/>
      <c r="O122" s="33"/>
      <c r="P122" s="72">
        <f t="shared" si="60"/>
        <v>44307</v>
      </c>
      <c r="Q122" s="74">
        <f t="shared" si="67"/>
        <v>344891.14</v>
      </c>
      <c r="R122" s="72">
        <f t="shared" si="68"/>
        <v>44307</v>
      </c>
      <c r="S122" s="71">
        <f t="shared" si="59"/>
        <v>10622.5</v>
      </c>
      <c r="T122" s="71"/>
      <c r="U122" s="71">
        <f t="shared" si="61"/>
        <v>10622.5</v>
      </c>
    </row>
    <row r="123" spans="4:27" ht="17.25" x14ac:dyDescent="0.3">
      <c r="D123" s="24" t="s">
        <v>82</v>
      </c>
      <c r="E123" s="21">
        <f t="shared" si="64"/>
        <v>63907.28</v>
      </c>
      <c r="F123" s="21">
        <f t="shared" si="65"/>
        <v>0</v>
      </c>
      <c r="G123" s="21">
        <f t="shared" ref="G123:G129" si="69">G122</f>
        <v>0</v>
      </c>
      <c r="H123" s="54"/>
      <c r="I123" s="21">
        <v>5023.34</v>
      </c>
      <c r="J123" s="42"/>
      <c r="K123" s="21">
        <f t="shared" si="66"/>
        <v>68930.62</v>
      </c>
      <c r="L123" s="49">
        <f t="shared" si="63"/>
        <v>7.8603564413944713E-2</v>
      </c>
      <c r="M123" s="76"/>
      <c r="O123" s="33"/>
      <c r="P123" s="90">
        <f t="shared" si="60"/>
        <v>44337</v>
      </c>
      <c r="Q123" s="74">
        <f t="shared" si="67"/>
        <v>341140.89</v>
      </c>
      <c r="R123" s="72">
        <f t="shared" si="68"/>
        <v>44337</v>
      </c>
      <c r="S123" s="71"/>
      <c r="T123" s="71">
        <f>U123</f>
        <v>-3750.25</v>
      </c>
      <c r="U123" s="71">
        <f t="shared" si="61"/>
        <v>-3750.25</v>
      </c>
    </row>
    <row r="124" spans="4:27" ht="17.25" x14ac:dyDescent="0.3">
      <c r="D124" s="24" t="s">
        <v>83</v>
      </c>
      <c r="E124" s="21">
        <f t="shared" si="64"/>
        <v>68930.62</v>
      </c>
      <c r="F124" s="21">
        <f t="shared" si="65"/>
        <v>0</v>
      </c>
      <c r="G124" s="21">
        <f t="shared" si="69"/>
        <v>0</v>
      </c>
      <c r="H124" s="54"/>
      <c r="I124" s="21">
        <v>3125.88</v>
      </c>
      <c r="J124" s="42"/>
      <c r="K124" s="21">
        <f t="shared" si="66"/>
        <v>72056.5</v>
      </c>
      <c r="L124" s="49">
        <f t="shared" si="63"/>
        <v>4.534820664604497E-2</v>
      </c>
      <c r="M124" s="76"/>
      <c r="O124" s="33"/>
      <c r="P124" s="90">
        <f t="shared" si="60"/>
        <v>44368</v>
      </c>
      <c r="Q124" s="74">
        <f t="shared" si="67"/>
        <v>345240.89</v>
      </c>
      <c r="R124" s="72">
        <f t="shared" si="68"/>
        <v>44368</v>
      </c>
      <c r="S124" s="71">
        <f t="shared" si="59"/>
        <v>4100</v>
      </c>
      <c r="U124" s="71">
        <f t="shared" si="61"/>
        <v>4100</v>
      </c>
    </row>
    <row r="125" spans="4:27" ht="17.25" x14ac:dyDescent="0.3">
      <c r="D125" s="24" t="s">
        <v>84</v>
      </c>
      <c r="E125" s="21">
        <f t="shared" si="64"/>
        <v>72056.5</v>
      </c>
      <c r="F125" s="21">
        <f t="shared" si="65"/>
        <v>0</v>
      </c>
      <c r="G125" s="21">
        <f t="shared" si="69"/>
        <v>0</v>
      </c>
      <c r="H125" s="54"/>
      <c r="I125" s="21">
        <v>4751.3500000000004</v>
      </c>
      <c r="J125" s="42"/>
      <c r="K125" s="21">
        <f t="shared" si="66"/>
        <v>76807.850000000006</v>
      </c>
      <c r="L125" s="49">
        <f t="shared" si="63"/>
        <v>6.5939228244502587E-2</v>
      </c>
      <c r="M125" s="76"/>
      <c r="O125" s="33"/>
      <c r="P125" s="90">
        <v>44398</v>
      </c>
      <c r="Q125" s="74">
        <f t="shared" si="67"/>
        <v>350128.89</v>
      </c>
      <c r="R125" s="72">
        <f t="shared" si="68"/>
        <v>44398</v>
      </c>
      <c r="S125" s="71">
        <f t="shared" si="59"/>
        <v>4888</v>
      </c>
      <c r="U125" s="71">
        <f t="shared" si="61"/>
        <v>4888</v>
      </c>
    </row>
    <row r="126" spans="4:27" ht="17.25" x14ac:dyDescent="0.3">
      <c r="D126" s="24" t="s">
        <v>85</v>
      </c>
      <c r="E126" s="21">
        <f t="shared" si="64"/>
        <v>76807.850000000006</v>
      </c>
      <c r="F126" s="21">
        <f t="shared" si="65"/>
        <v>0</v>
      </c>
      <c r="G126" s="21">
        <f t="shared" si="69"/>
        <v>0</v>
      </c>
      <c r="H126" s="54"/>
      <c r="I126" s="21">
        <v>537.37</v>
      </c>
      <c r="J126" s="42"/>
      <c r="K126" s="21">
        <f t="shared" si="66"/>
        <v>77345.22</v>
      </c>
      <c r="L126" s="49">
        <f t="shared" si="63"/>
        <v>6.9962900927444263E-3</v>
      </c>
      <c r="M126" s="76"/>
      <c r="O126" s="33"/>
      <c r="P126" s="90">
        <f>D157</f>
        <v>44429</v>
      </c>
      <c r="Q126" s="74">
        <f t="shared" ref="Q126:Q127" si="70">U126+Q125</f>
        <v>356859.89</v>
      </c>
      <c r="R126" s="72">
        <f t="shared" ref="R126:R127" si="71">P126</f>
        <v>44429</v>
      </c>
      <c r="S126" s="71">
        <f t="shared" ref="S126:S127" si="72">U126</f>
        <v>6731</v>
      </c>
      <c r="U126" s="71">
        <f t="shared" ref="U126:U127" si="73">I157</f>
        <v>6731</v>
      </c>
    </row>
    <row r="127" spans="4:27" ht="17.25" x14ac:dyDescent="0.3">
      <c r="D127" s="24" t="s">
        <v>95</v>
      </c>
      <c r="E127" s="21">
        <f t="shared" si="64"/>
        <v>77345.22</v>
      </c>
      <c r="F127" s="21">
        <f t="shared" si="65"/>
        <v>0</v>
      </c>
      <c r="G127" s="21">
        <f t="shared" si="69"/>
        <v>0</v>
      </c>
      <c r="H127" s="54"/>
      <c r="I127" s="21">
        <v>-1425.23</v>
      </c>
      <c r="J127" s="42"/>
      <c r="K127" s="21">
        <f t="shared" si="66"/>
        <v>75919.990000000005</v>
      </c>
      <c r="L127" s="49">
        <f t="shared" si="63"/>
        <v>-1.8426865939485337E-2</v>
      </c>
      <c r="M127" s="76"/>
      <c r="O127" s="33"/>
      <c r="P127" s="90">
        <f>D158</f>
        <v>44460</v>
      </c>
      <c r="Q127" s="74">
        <f t="shared" si="70"/>
        <v>358841.89</v>
      </c>
      <c r="R127" s="72">
        <f t="shared" si="71"/>
        <v>44460</v>
      </c>
      <c r="S127" s="71">
        <f t="shared" si="72"/>
        <v>1982</v>
      </c>
      <c r="U127" s="71">
        <f t="shared" si="73"/>
        <v>1982</v>
      </c>
      <c r="W127" s="74"/>
      <c r="AA127" s="71"/>
    </row>
    <row r="128" spans="4:27" ht="17.25" x14ac:dyDescent="0.3">
      <c r="D128" s="24" t="s">
        <v>96</v>
      </c>
      <c r="E128" s="21">
        <f t="shared" si="64"/>
        <v>75919.990000000005</v>
      </c>
      <c r="F128" s="21">
        <f t="shared" si="65"/>
        <v>0</v>
      </c>
      <c r="G128" s="21">
        <f t="shared" si="69"/>
        <v>0</v>
      </c>
      <c r="H128" s="54"/>
      <c r="I128" s="21">
        <v>3875.48</v>
      </c>
      <c r="J128" s="42"/>
      <c r="K128" s="21">
        <f t="shared" si="66"/>
        <v>79795.47</v>
      </c>
      <c r="L128" s="49">
        <f t="shared" si="63"/>
        <v>5.1046898188474465E-2</v>
      </c>
      <c r="M128" s="76"/>
      <c r="O128" s="33"/>
      <c r="P128" s="90">
        <f>D159</f>
        <v>44490</v>
      </c>
      <c r="Q128" s="74">
        <f t="shared" ref="Q128" si="74">U128+Q127</f>
        <v>359178.39</v>
      </c>
      <c r="R128" s="72">
        <f t="shared" ref="R128" si="75">P128</f>
        <v>44490</v>
      </c>
      <c r="S128" s="71">
        <f t="shared" ref="S128" si="76">U128</f>
        <v>336.5</v>
      </c>
      <c r="U128" s="71">
        <f t="shared" ref="U128" si="77">I159</f>
        <v>336.5</v>
      </c>
    </row>
    <row r="129" spans="4:21" ht="17.25" x14ac:dyDescent="0.3">
      <c r="D129" s="24" t="s">
        <v>97</v>
      </c>
      <c r="E129" s="21">
        <f t="shared" si="64"/>
        <v>79795.47</v>
      </c>
      <c r="F129" s="21">
        <f t="shared" si="65"/>
        <v>0</v>
      </c>
      <c r="G129" s="21">
        <f t="shared" si="69"/>
        <v>0</v>
      </c>
      <c r="H129" s="54"/>
      <c r="I129" s="21">
        <v>6713.44</v>
      </c>
      <c r="J129" s="42"/>
      <c r="K129" s="21">
        <f t="shared" si="66"/>
        <v>86508.91</v>
      </c>
      <c r="L129" s="49">
        <f t="shared" si="63"/>
        <v>8.4133096778551464E-2</v>
      </c>
      <c r="M129" s="76"/>
      <c r="O129" s="33"/>
      <c r="P129" s="90">
        <f>D160</f>
        <v>44886</v>
      </c>
      <c r="Q129" s="74">
        <f t="shared" ref="Q129:Q131" si="78">U129+Q128</f>
        <v>357640.89</v>
      </c>
      <c r="R129" s="72">
        <f t="shared" ref="R129:R131" si="79">P129</f>
        <v>44886</v>
      </c>
      <c r="S129" s="71"/>
      <c r="T129" s="71">
        <f>U129</f>
        <v>-1537.5</v>
      </c>
      <c r="U129" s="71">
        <f t="shared" ref="U129:U130" si="80">I160</f>
        <v>-1537.5</v>
      </c>
    </row>
    <row r="130" spans="4:21" ht="17.25" x14ac:dyDescent="0.3">
      <c r="D130" s="24" t="s">
        <v>98</v>
      </c>
      <c r="E130" s="21">
        <f t="shared" si="64"/>
        <v>86508.91</v>
      </c>
      <c r="F130" s="21">
        <f t="shared" si="65"/>
        <v>0</v>
      </c>
      <c r="G130" s="21">
        <f t="shared" si="65"/>
        <v>0</v>
      </c>
      <c r="H130" s="54"/>
      <c r="I130" s="21">
        <v>4669.8</v>
      </c>
      <c r="J130" s="42"/>
      <c r="K130" s="21">
        <f t="shared" si="66"/>
        <v>91178.71</v>
      </c>
      <c r="L130" s="49">
        <f t="shared" si="63"/>
        <v>5.3980566857217367E-2</v>
      </c>
      <c r="M130" s="76"/>
      <c r="O130" s="33"/>
      <c r="P130" s="90">
        <f>D161</f>
        <v>44916</v>
      </c>
      <c r="Q130" s="74">
        <f t="shared" si="78"/>
        <v>350465.64</v>
      </c>
      <c r="R130" s="72">
        <f t="shared" si="79"/>
        <v>44916</v>
      </c>
      <c r="S130" s="71"/>
      <c r="T130" s="71">
        <f>U130</f>
        <v>-7175.25</v>
      </c>
      <c r="U130" s="71">
        <f t="shared" si="80"/>
        <v>-7175.25</v>
      </c>
    </row>
    <row r="131" spans="4:21" ht="17.25" x14ac:dyDescent="0.3">
      <c r="D131" s="24" t="s">
        <v>100</v>
      </c>
      <c r="E131" s="21">
        <f t="shared" si="64"/>
        <v>91178.71</v>
      </c>
      <c r="F131" s="21">
        <f t="shared" si="65"/>
        <v>0</v>
      </c>
      <c r="G131" s="21">
        <f t="shared" si="65"/>
        <v>0</v>
      </c>
      <c r="H131" s="54"/>
      <c r="I131" s="21">
        <v>3552.48</v>
      </c>
      <c r="J131" s="42"/>
      <c r="K131" s="21">
        <f t="shared" si="66"/>
        <v>94731.19</v>
      </c>
      <c r="L131" s="49">
        <f t="shared" si="63"/>
        <v>3.8961726920681373E-2</v>
      </c>
      <c r="M131" s="76"/>
      <c r="O131" s="33"/>
      <c r="P131" s="90">
        <f t="shared" ref="P131:P136" si="81">D165</f>
        <v>44583</v>
      </c>
      <c r="Q131" s="74">
        <f t="shared" si="78"/>
        <v>368090.64</v>
      </c>
      <c r="R131" s="72">
        <f t="shared" si="79"/>
        <v>44583</v>
      </c>
      <c r="S131" s="71">
        <f t="shared" ref="S131" si="82">U131</f>
        <v>17625</v>
      </c>
      <c r="U131" s="71">
        <f t="shared" ref="U131:U136" si="83">I165</f>
        <v>17625</v>
      </c>
    </row>
    <row r="132" spans="4:21" ht="17.25" x14ac:dyDescent="0.3">
      <c r="D132" s="19"/>
      <c r="E132" s="19"/>
      <c r="F132" s="19"/>
      <c r="G132" s="19"/>
      <c r="H132" s="55" t="s">
        <v>11</v>
      </c>
      <c r="I132" s="19" t="s">
        <v>11</v>
      </c>
      <c r="K132" s="19"/>
      <c r="L132" s="50" t="s">
        <v>12</v>
      </c>
      <c r="M132" s="76"/>
      <c r="O132" s="33"/>
      <c r="P132" s="90">
        <f t="shared" si="81"/>
        <v>44614</v>
      </c>
      <c r="Q132" s="74">
        <f t="shared" ref="Q132" si="84">U132+Q131</f>
        <v>375038.64</v>
      </c>
      <c r="R132" s="72">
        <f t="shared" ref="R132" si="85">P132</f>
        <v>44614</v>
      </c>
      <c r="S132" s="71">
        <f t="shared" ref="S132" si="86">U132</f>
        <v>6948</v>
      </c>
      <c r="U132" s="71">
        <f t="shared" si="83"/>
        <v>6948</v>
      </c>
    </row>
    <row r="133" spans="4:21" ht="17.25" x14ac:dyDescent="0.3">
      <c r="D133" s="19"/>
      <c r="E133" s="19"/>
      <c r="F133" s="19"/>
      <c r="G133" s="19"/>
      <c r="H133" s="56">
        <f>SUM(H109:H132)</f>
        <v>51943.94</v>
      </c>
      <c r="I133" s="22">
        <f>SUM(I120:I132)</f>
        <v>44731.19</v>
      </c>
      <c r="J133" s="42"/>
      <c r="K133" s="23"/>
      <c r="L133" s="51">
        <f>I133/E120</f>
        <v>0.89462380000000008</v>
      </c>
      <c r="M133" s="76">
        <f>I133</f>
        <v>44731.19</v>
      </c>
      <c r="N133" s="29">
        <v>12</v>
      </c>
      <c r="O133" s="33"/>
      <c r="P133" s="90" t="str">
        <f t="shared" si="81"/>
        <v>22--Mar</v>
      </c>
      <c r="Q133" s="74">
        <f t="shared" ref="Q133" si="87">U133+Q132</f>
        <v>378949.76</v>
      </c>
      <c r="R133" s="72" t="str">
        <f t="shared" ref="R133" si="88">P133</f>
        <v>22--Mar</v>
      </c>
      <c r="S133" s="71">
        <f t="shared" ref="S133" si="89">U133</f>
        <v>3911.12</v>
      </c>
      <c r="U133" s="71">
        <f t="shared" si="83"/>
        <v>3911.12</v>
      </c>
    </row>
    <row r="134" spans="4:21" ht="17.25" x14ac:dyDescent="0.3">
      <c r="D134" s="19"/>
      <c r="E134" s="19"/>
      <c r="F134" s="19"/>
      <c r="G134" s="19"/>
      <c r="H134" s="56"/>
      <c r="I134" s="22"/>
      <c r="J134" s="42"/>
      <c r="K134" s="23"/>
      <c r="L134" s="51"/>
      <c r="M134" s="76"/>
      <c r="O134" s="33"/>
      <c r="P134" s="90">
        <f t="shared" si="81"/>
        <v>44673</v>
      </c>
      <c r="Q134" s="74">
        <f t="shared" ref="Q134:Q139" si="90">U134+Q133</f>
        <v>384195.77</v>
      </c>
      <c r="R134" s="72">
        <f t="shared" ref="R134" si="91">P134</f>
        <v>44673</v>
      </c>
      <c r="S134" s="71">
        <f t="shared" ref="S134:S136" si="92">U134</f>
        <v>5246.01</v>
      </c>
      <c r="U134" s="71">
        <f t="shared" si="83"/>
        <v>5246.01</v>
      </c>
    </row>
    <row r="135" spans="4:21" ht="17.25" x14ac:dyDescent="0.3">
      <c r="D135" s="24" t="s">
        <v>101</v>
      </c>
      <c r="E135" s="21">
        <f>E120</f>
        <v>50000</v>
      </c>
      <c r="F135" s="21">
        <v>0</v>
      </c>
      <c r="G135" s="21">
        <f>-I133</f>
        <v>-44731.19</v>
      </c>
      <c r="H135" s="54">
        <v>11876.44</v>
      </c>
      <c r="I135" s="21">
        <v>-1238.17</v>
      </c>
      <c r="J135" s="42">
        <f t="shared" ref="J135" si="93">I135</f>
        <v>-1238.17</v>
      </c>
      <c r="K135" s="21">
        <f t="shared" ref="K135:K146" si="94">E135+I135</f>
        <v>48761.83</v>
      </c>
      <c r="L135" s="49">
        <f t="shared" ref="L135" si="95">I135/E135</f>
        <v>-2.4763400000000001E-2</v>
      </c>
      <c r="M135" s="76"/>
      <c r="O135" s="33"/>
      <c r="P135" s="90">
        <f t="shared" si="81"/>
        <v>44703</v>
      </c>
      <c r="Q135" s="74">
        <f t="shared" si="90"/>
        <v>383808.27</v>
      </c>
      <c r="R135" s="72">
        <f t="shared" ref="R135" si="96">P135</f>
        <v>44703</v>
      </c>
      <c r="S135" s="71"/>
      <c r="T135" s="71">
        <f>U135</f>
        <v>-387.5</v>
      </c>
      <c r="U135" s="71">
        <f t="shared" si="83"/>
        <v>-387.5</v>
      </c>
    </row>
    <row r="136" spans="4:21" ht="17.25" x14ac:dyDescent="0.3">
      <c r="D136" s="24" t="s">
        <v>105</v>
      </c>
      <c r="E136" s="21">
        <f t="shared" ref="E136:E146" si="97">K135</f>
        <v>48761.83</v>
      </c>
      <c r="F136" s="21">
        <v>0</v>
      </c>
      <c r="G136" s="21">
        <v>0</v>
      </c>
      <c r="H136" s="54"/>
      <c r="I136" s="21">
        <v>13382.25</v>
      </c>
      <c r="J136" s="42"/>
      <c r="K136" s="21">
        <f t="shared" si="94"/>
        <v>62144.08</v>
      </c>
      <c r="L136" s="49">
        <f t="shared" ref="L136:L146" si="98">I136/K135</f>
        <v>0.27444109460206884</v>
      </c>
      <c r="M136" s="76"/>
      <c r="O136" s="33"/>
      <c r="P136" s="90">
        <f t="shared" si="81"/>
        <v>44734</v>
      </c>
      <c r="Q136" s="74">
        <f t="shared" si="90"/>
        <v>384423.77</v>
      </c>
      <c r="R136" s="72">
        <f t="shared" ref="R136" si="99">P136</f>
        <v>44734</v>
      </c>
      <c r="S136" s="71">
        <f t="shared" si="92"/>
        <v>615.5</v>
      </c>
      <c r="T136" s="71"/>
      <c r="U136" s="71">
        <f t="shared" si="83"/>
        <v>615.5</v>
      </c>
    </row>
    <row r="137" spans="4:21" ht="17.25" x14ac:dyDescent="0.3">
      <c r="D137" s="20">
        <v>43910</v>
      </c>
      <c r="E137" s="21">
        <f t="shared" si="97"/>
        <v>62144.08</v>
      </c>
      <c r="F137" s="21">
        <v>0</v>
      </c>
      <c r="G137" s="21">
        <v>0</v>
      </c>
      <c r="H137" s="54"/>
      <c r="I137" s="21">
        <v>18905.060000000001</v>
      </c>
      <c r="J137" s="42"/>
      <c r="K137" s="21">
        <f t="shared" si="94"/>
        <v>81049.14</v>
      </c>
      <c r="L137" s="49">
        <f t="shared" si="98"/>
        <v>0.30421336996219112</v>
      </c>
      <c r="M137" s="76"/>
      <c r="O137" s="33"/>
      <c r="P137" s="90">
        <f t="shared" ref="P137" si="100">D171</f>
        <v>44764</v>
      </c>
      <c r="Q137" s="74">
        <f t="shared" si="90"/>
        <v>385668.27</v>
      </c>
      <c r="R137" s="72">
        <f t="shared" ref="R137" si="101">P137</f>
        <v>44764</v>
      </c>
      <c r="S137" s="71">
        <f t="shared" ref="S137" si="102">U137</f>
        <v>1244.5</v>
      </c>
      <c r="T137" s="71"/>
      <c r="U137" s="71">
        <f t="shared" ref="U137" si="103">I171</f>
        <v>1244.5</v>
      </c>
    </row>
    <row r="138" spans="4:21" ht="17.25" x14ac:dyDescent="0.3">
      <c r="D138" s="20">
        <v>43941</v>
      </c>
      <c r="E138" s="21">
        <f t="shared" si="97"/>
        <v>81049.14</v>
      </c>
      <c r="F138" s="21">
        <v>0</v>
      </c>
      <c r="G138" s="21">
        <v>0</v>
      </c>
      <c r="H138" s="54"/>
      <c r="I138" s="21">
        <v>-378</v>
      </c>
      <c r="J138" s="42"/>
      <c r="K138" s="21">
        <f t="shared" si="94"/>
        <v>80671.14</v>
      </c>
      <c r="L138" s="49">
        <f t="shared" si="98"/>
        <v>-4.6638372720549538E-3</v>
      </c>
      <c r="M138" s="76"/>
      <c r="O138" s="33"/>
      <c r="P138" s="90">
        <f t="shared" ref="P138" si="104">D172</f>
        <v>44795</v>
      </c>
      <c r="Q138" s="74">
        <f t="shared" si="90"/>
        <v>385599.52</v>
      </c>
      <c r="R138" s="72">
        <f t="shared" ref="R138" si="105">P138</f>
        <v>44795</v>
      </c>
      <c r="T138" s="71">
        <f>U138</f>
        <v>-68.75</v>
      </c>
      <c r="U138" s="71">
        <f t="shared" ref="U138" si="106">I172</f>
        <v>-68.75</v>
      </c>
    </row>
    <row r="139" spans="4:21" ht="17.25" x14ac:dyDescent="0.3">
      <c r="D139" s="20">
        <v>43971</v>
      </c>
      <c r="E139" s="21">
        <f t="shared" si="97"/>
        <v>80671.14</v>
      </c>
      <c r="F139" s="21">
        <v>0</v>
      </c>
      <c r="G139" s="21">
        <v>0</v>
      </c>
      <c r="H139" s="54"/>
      <c r="I139" s="21">
        <v>-1514.63</v>
      </c>
      <c r="J139" s="42"/>
      <c r="K139" s="21">
        <f t="shared" si="94"/>
        <v>79156.509999999995</v>
      </c>
      <c r="L139" s="49">
        <f t="shared" si="98"/>
        <v>-1.8775363779413558E-2</v>
      </c>
      <c r="M139" s="76"/>
      <c r="O139" s="33"/>
      <c r="P139" s="90">
        <f t="shared" ref="P139" si="107">D173</f>
        <v>44826</v>
      </c>
      <c r="Q139" s="74">
        <f t="shared" si="90"/>
        <v>403059.52</v>
      </c>
      <c r="R139" s="72">
        <f t="shared" ref="R139" si="108">P139</f>
        <v>44826</v>
      </c>
      <c r="S139" s="71">
        <f>(I173&gt;1)*I173</f>
        <v>17460</v>
      </c>
      <c r="T139" s="93">
        <f>(I173&lt;1)*I173</f>
        <v>0</v>
      </c>
      <c r="U139" s="71">
        <f t="shared" ref="U139" si="109">I173</f>
        <v>17460</v>
      </c>
    </row>
    <row r="140" spans="4:21" ht="17.25" x14ac:dyDescent="0.3">
      <c r="D140" s="20">
        <v>44002</v>
      </c>
      <c r="E140" s="21">
        <f t="shared" si="97"/>
        <v>79156.509999999995</v>
      </c>
      <c r="F140" s="21">
        <v>0</v>
      </c>
      <c r="G140" s="21">
        <v>0</v>
      </c>
      <c r="H140" s="54"/>
      <c r="I140" s="21">
        <v>-1305.28</v>
      </c>
      <c r="J140" s="42"/>
      <c r="K140" s="21">
        <f t="shared" si="94"/>
        <v>77851.23</v>
      </c>
      <c r="L140" s="49">
        <f t="shared" si="98"/>
        <v>-1.6489862931046356E-2</v>
      </c>
      <c r="M140" s="76"/>
      <c r="O140" s="33"/>
      <c r="P140" s="90">
        <f t="shared" ref="P140:P141" si="110">D174</f>
        <v>44856</v>
      </c>
      <c r="Q140" s="74">
        <f t="shared" ref="Q140:Q141" si="111">U140+Q139</f>
        <v>393111.02</v>
      </c>
      <c r="R140" s="72">
        <f t="shared" ref="R140:R141" si="112">P140</f>
        <v>44856</v>
      </c>
      <c r="S140" s="71">
        <f>(I174&gt;1)*I174</f>
        <v>0</v>
      </c>
      <c r="T140" s="93">
        <f>(I174&lt;1)*I174</f>
        <v>-9948.5</v>
      </c>
      <c r="U140" s="71">
        <f t="shared" ref="U140:U141" si="113">I174</f>
        <v>-9948.5</v>
      </c>
    </row>
    <row r="141" spans="4:21" ht="17.25" x14ac:dyDescent="0.3">
      <c r="D141" s="20">
        <v>44032</v>
      </c>
      <c r="E141" s="21">
        <f t="shared" si="97"/>
        <v>77851.23</v>
      </c>
      <c r="F141" s="21">
        <v>0</v>
      </c>
      <c r="G141" s="21">
        <v>0</v>
      </c>
      <c r="H141" s="54"/>
      <c r="I141" s="21">
        <v>484.25</v>
      </c>
      <c r="J141" s="42"/>
      <c r="K141" s="21">
        <f t="shared" si="94"/>
        <v>78335.48</v>
      </c>
      <c r="L141" s="49">
        <f t="shared" si="98"/>
        <v>6.2201971632304337E-3</v>
      </c>
      <c r="M141" s="76"/>
      <c r="O141" s="33"/>
      <c r="P141" s="90">
        <f t="shared" si="110"/>
        <v>44887</v>
      </c>
      <c r="Q141" s="74">
        <f t="shared" si="111"/>
        <v>401401.10000000003</v>
      </c>
      <c r="R141" s="72">
        <f t="shared" si="112"/>
        <v>44887</v>
      </c>
      <c r="S141" s="71">
        <f>(I175&gt;1)*I175</f>
        <v>8290.08</v>
      </c>
      <c r="T141" s="93">
        <f>(I175&lt;1)*I175</f>
        <v>0</v>
      </c>
      <c r="U141" s="71">
        <f t="shared" si="113"/>
        <v>8290.08</v>
      </c>
    </row>
    <row r="142" spans="4:21" ht="17.25" x14ac:dyDescent="0.3">
      <c r="D142" s="20">
        <v>44063</v>
      </c>
      <c r="E142" s="21">
        <f t="shared" si="97"/>
        <v>78335.48</v>
      </c>
      <c r="F142" s="21">
        <v>0</v>
      </c>
      <c r="G142" s="21">
        <v>0</v>
      </c>
      <c r="H142" s="54"/>
      <c r="I142" s="21">
        <v>404.19</v>
      </c>
      <c r="J142" s="42"/>
      <c r="K142" s="21">
        <f t="shared" si="94"/>
        <v>78739.67</v>
      </c>
      <c r="L142" s="49">
        <f t="shared" si="98"/>
        <v>5.1597309418414238E-3</v>
      </c>
      <c r="M142" s="76"/>
      <c r="O142" s="33"/>
      <c r="P142" s="90">
        <f t="shared" ref="P142" si="114">D176</f>
        <v>44917</v>
      </c>
      <c r="Q142" s="74">
        <f t="shared" ref="Q142" si="115">U142+Q141</f>
        <v>395054.98000000004</v>
      </c>
      <c r="R142" s="72">
        <f t="shared" ref="R142" si="116">P142</f>
        <v>44917</v>
      </c>
      <c r="S142" s="71">
        <f>(I176&gt;1)*I176</f>
        <v>0</v>
      </c>
      <c r="T142" s="93">
        <f>(I176&lt;1)*I176</f>
        <v>-6346.12</v>
      </c>
      <c r="U142" s="71">
        <f t="shared" ref="U142" si="117">I176</f>
        <v>-6346.12</v>
      </c>
    </row>
    <row r="143" spans="4:21" ht="17.25" x14ac:dyDescent="0.3">
      <c r="D143" s="20">
        <v>44094</v>
      </c>
      <c r="E143" s="21">
        <f t="shared" si="97"/>
        <v>78739.67</v>
      </c>
      <c r="F143" s="21">
        <v>0</v>
      </c>
      <c r="G143" s="21">
        <v>0</v>
      </c>
      <c r="H143" s="54"/>
      <c r="I143" s="21">
        <v>-2602.25</v>
      </c>
      <c r="J143" s="42"/>
      <c r="K143" s="21">
        <f t="shared" si="94"/>
        <v>76137.42</v>
      </c>
      <c r="L143" s="49">
        <f t="shared" si="98"/>
        <v>-3.3048779604994534E-2</v>
      </c>
      <c r="M143" s="76"/>
      <c r="O143" s="33"/>
      <c r="P143" s="90">
        <f t="shared" ref="P143:P148" si="118">D180</f>
        <v>44949</v>
      </c>
      <c r="Q143" s="74">
        <f t="shared" ref="Q143" si="119">U143+Q142</f>
        <v>398208.93000000005</v>
      </c>
      <c r="R143" s="72">
        <f t="shared" ref="R143" si="120">P143</f>
        <v>44949</v>
      </c>
      <c r="S143" s="71">
        <f t="shared" ref="S143:S148" si="121">(I180&gt;1)*I180</f>
        <v>3153.95</v>
      </c>
      <c r="T143" s="93">
        <f t="shared" ref="T143:T148" si="122">(I180&lt;1)*I180</f>
        <v>0</v>
      </c>
      <c r="U143" s="71">
        <f t="shared" ref="U143:U148" si="123">I180</f>
        <v>3153.95</v>
      </c>
    </row>
    <row r="144" spans="4:21" ht="17.25" x14ac:dyDescent="0.3">
      <c r="D144" s="20">
        <v>44124</v>
      </c>
      <c r="E144" s="21">
        <f t="shared" si="97"/>
        <v>76137.42</v>
      </c>
      <c r="F144" s="21">
        <v>0</v>
      </c>
      <c r="G144" s="21">
        <v>0</v>
      </c>
      <c r="H144" s="54"/>
      <c r="I144" s="21">
        <v>-650.51</v>
      </c>
      <c r="J144" s="42"/>
      <c r="K144" s="21">
        <f t="shared" si="94"/>
        <v>75486.91</v>
      </c>
      <c r="L144" s="49">
        <f t="shared" si="98"/>
        <v>-8.5438933969656447E-3</v>
      </c>
      <c r="M144" s="76"/>
      <c r="O144" s="33"/>
      <c r="P144" s="90">
        <f t="shared" si="118"/>
        <v>44615</v>
      </c>
      <c r="Q144" s="74">
        <f t="shared" ref="Q144" si="124">U144+Q143</f>
        <v>401534.43000000005</v>
      </c>
      <c r="R144" s="72">
        <f t="shared" ref="R144" si="125">P144</f>
        <v>44615</v>
      </c>
      <c r="S144" s="71">
        <f t="shared" si="121"/>
        <v>3325.5</v>
      </c>
      <c r="T144" s="93">
        <f t="shared" si="122"/>
        <v>0</v>
      </c>
      <c r="U144" s="71">
        <f t="shared" si="123"/>
        <v>3325.5</v>
      </c>
    </row>
    <row r="145" spans="4:28" ht="17.25" x14ac:dyDescent="0.3">
      <c r="D145" s="20">
        <v>44155</v>
      </c>
      <c r="E145" s="21">
        <f t="shared" si="97"/>
        <v>75486.91</v>
      </c>
      <c r="F145" s="21">
        <v>0</v>
      </c>
      <c r="G145" s="21">
        <v>0</v>
      </c>
      <c r="H145" s="54"/>
      <c r="I145" s="21">
        <v>0</v>
      </c>
      <c r="J145" s="42"/>
      <c r="K145" s="21">
        <f t="shared" si="94"/>
        <v>75486.91</v>
      </c>
      <c r="L145" s="49">
        <f t="shared" si="98"/>
        <v>0</v>
      </c>
      <c r="M145" s="76"/>
      <c r="O145" s="33"/>
      <c r="P145" s="90">
        <f t="shared" si="118"/>
        <v>44643</v>
      </c>
      <c r="Q145" s="74">
        <f t="shared" ref="Q145" si="126">U145+Q144</f>
        <v>406454.93000000005</v>
      </c>
      <c r="R145" s="72">
        <f t="shared" ref="R145" si="127">P145</f>
        <v>44643</v>
      </c>
      <c r="S145" s="71">
        <f t="shared" si="121"/>
        <v>4920.5</v>
      </c>
      <c r="T145" s="93">
        <f t="shared" si="122"/>
        <v>0</v>
      </c>
      <c r="U145" s="71">
        <f t="shared" si="123"/>
        <v>4920.5</v>
      </c>
    </row>
    <row r="146" spans="4:28" ht="17.25" x14ac:dyDescent="0.3">
      <c r="D146" s="20">
        <v>44550</v>
      </c>
      <c r="E146" s="21">
        <f t="shared" si="97"/>
        <v>75486.91</v>
      </c>
      <c r="F146" s="21">
        <v>0</v>
      </c>
      <c r="G146" s="21">
        <v>0</v>
      </c>
      <c r="H146" s="54"/>
      <c r="I146" s="21">
        <v>246.75</v>
      </c>
      <c r="J146" s="42"/>
      <c r="K146" s="21">
        <f t="shared" si="94"/>
        <v>75733.66</v>
      </c>
      <c r="L146" s="49">
        <f t="shared" si="98"/>
        <v>3.2687786531466183E-3</v>
      </c>
      <c r="M146" s="76"/>
      <c r="N146" s="29">
        <v>12</v>
      </c>
      <c r="O146" s="33"/>
      <c r="P146" s="90">
        <f t="shared" si="118"/>
        <v>44674</v>
      </c>
      <c r="Q146" s="74">
        <f t="shared" ref="Q146" si="128">U146+Q145</f>
        <v>410657.68000000005</v>
      </c>
      <c r="R146" s="72">
        <f t="shared" ref="R146" si="129">P146</f>
        <v>44674</v>
      </c>
      <c r="S146" s="71">
        <f t="shared" si="121"/>
        <v>4202.75</v>
      </c>
      <c r="T146" s="93">
        <f t="shared" si="122"/>
        <v>0</v>
      </c>
      <c r="U146" s="71">
        <f t="shared" si="123"/>
        <v>4202.75</v>
      </c>
    </row>
    <row r="147" spans="4:28" ht="17.25" x14ac:dyDescent="0.3">
      <c r="D147" s="19"/>
      <c r="E147" s="19"/>
      <c r="F147" s="19"/>
      <c r="G147" s="19"/>
      <c r="H147" s="56"/>
      <c r="I147" s="19" t="s">
        <v>11</v>
      </c>
      <c r="K147" s="19"/>
      <c r="L147" s="50" t="s">
        <v>12</v>
      </c>
      <c r="M147" s="76"/>
      <c r="O147" s="33"/>
      <c r="P147" s="90">
        <f t="shared" si="118"/>
        <v>44704</v>
      </c>
      <c r="Q147" s="74">
        <f t="shared" ref="Q147" si="130">U147+Q146</f>
        <v>410682.68000000005</v>
      </c>
      <c r="R147" s="72">
        <f t="shared" ref="R147" si="131">P147</f>
        <v>44704</v>
      </c>
      <c r="S147" s="71">
        <f t="shared" si="121"/>
        <v>25</v>
      </c>
      <c r="T147" s="93">
        <f t="shared" si="122"/>
        <v>0</v>
      </c>
      <c r="U147" s="71">
        <f t="shared" si="123"/>
        <v>25</v>
      </c>
    </row>
    <row r="148" spans="4:28" ht="17.25" x14ac:dyDescent="0.3">
      <c r="D148" s="19"/>
      <c r="E148" s="19"/>
      <c r="F148" s="19"/>
      <c r="G148" s="19"/>
      <c r="H148" s="56"/>
      <c r="I148" s="22">
        <f>SUM(I135:I147)</f>
        <v>25733.66</v>
      </c>
      <c r="J148" s="42"/>
      <c r="K148" s="23"/>
      <c r="L148" s="51">
        <f>I148/E135</f>
        <v>0.51467319999999994</v>
      </c>
      <c r="M148" s="73">
        <f>I148</f>
        <v>25733.66</v>
      </c>
      <c r="O148" s="33"/>
      <c r="P148" s="90">
        <f t="shared" si="118"/>
        <v>44735</v>
      </c>
      <c r="Q148" s="74">
        <f t="shared" ref="Q148" si="132">U148+Q147</f>
        <v>423695.18000000005</v>
      </c>
      <c r="R148" s="72">
        <f t="shared" ref="R148" si="133">P148</f>
        <v>44735</v>
      </c>
      <c r="S148" s="71">
        <f t="shared" si="121"/>
        <v>13012.5</v>
      </c>
      <c r="T148" s="93">
        <f t="shared" si="122"/>
        <v>0</v>
      </c>
      <c r="U148" s="71">
        <f t="shared" si="123"/>
        <v>13012.5</v>
      </c>
    </row>
    <row r="149" spans="4:28" ht="17.25" x14ac:dyDescent="0.3">
      <c r="D149" s="19"/>
      <c r="E149" s="19"/>
      <c r="F149" s="19"/>
      <c r="G149" s="19"/>
      <c r="H149" s="56"/>
      <c r="I149" s="22"/>
      <c r="J149" s="42"/>
      <c r="K149" s="23"/>
      <c r="L149" s="51"/>
      <c r="M149" s="73"/>
      <c r="O149" s="33"/>
      <c r="P149" s="90">
        <f t="shared" ref="P149" si="134">D186</f>
        <v>44765</v>
      </c>
      <c r="Q149" s="74">
        <f t="shared" ref="Q149" si="135">U149+Q148</f>
        <v>429295.18000000005</v>
      </c>
      <c r="R149" s="72">
        <f t="shared" ref="R149" si="136">P149</f>
        <v>44765</v>
      </c>
      <c r="S149" s="71">
        <f t="shared" ref="S149" si="137">(I186&gt;1)*I186</f>
        <v>5600</v>
      </c>
      <c r="T149" s="93">
        <f t="shared" ref="T149" si="138">(I186&lt;1)*I186</f>
        <v>0</v>
      </c>
      <c r="U149" s="71">
        <f t="shared" ref="U149" si="139">I186</f>
        <v>5600</v>
      </c>
    </row>
    <row r="150" spans="4:28" ht="17.25" x14ac:dyDescent="0.3">
      <c r="D150" s="20">
        <v>44217</v>
      </c>
      <c r="E150" s="21">
        <f>E135</f>
        <v>50000</v>
      </c>
      <c r="F150" s="21">
        <f t="shared" ref="F150:F161" si="140">F146</f>
        <v>0</v>
      </c>
      <c r="G150" s="21">
        <f>E135-K146</f>
        <v>-25733.660000000003</v>
      </c>
      <c r="H150" s="56"/>
      <c r="I150" s="21">
        <v>38.5</v>
      </c>
      <c r="J150" s="42"/>
      <c r="K150" s="21">
        <f t="shared" ref="K150:K153" si="141">E150+I150</f>
        <v>50038.5</v>
      </c>
      <c r="L150" s="49">
        <f t="shared" ref="L150:L153" si="142">I150/E150</f>
        <v>7.6999999999999996E-4</v>
      </c>
      <c r="M150" s="73"/>
      <c r="O150" s="33"/>
      <c r="P150" s="90">
        <f t="shared" ref="P150" si="143">D187</f>
        <v>44796</v>
      </c>
      <c r="Q150" s="74">
        <f t="shared" ref="Q150" si="144">U150+Q149</f>
        <v>425569.93000000005</v>
      </c>
      <c r="R150" s="72">
        <f t="shared" ref="R150" si="145">P150</f>
        <v>44796</v>
      </c>
      <c r="S150" s="71">
        <f t="shared" ref="S150" si="146">(I187&gt;1)*I187</f>
        <v>0</v>
      </c>
      <c r="T150" s="93">
        <f t="shared" ref="T150" si="147">(I187&lt;1)*I187</f>
        <v>-3725.25</v>
      </c>
      <c r="U150" s="71">
        <f t="shared" ref="U150" si="148">I187</f>
        <v>-3725.25</v>
      </c>
    </row>
    <row r="151" spans="4:28" ht="17.25" x14ac:dyDescent="0.3">
      <c r="D151" s="20">
        <v>44248</v>
      </c>
      <c r="E151" s="21">
        <f t="shared" ref="E151:E161" si="149">K150</f>
        <v>50038.5</v>
      </c>
      <c r="F151" s="21">
        <f t="shared" si="140"/>
        <v>0</v>
      </c>
      <c r="G151" s="21">
        <f>G147</f>
        <v>0</v>
      </c>
      <c r="H151" s="56"/>
      <c r="I151" s="21">
        <v>1950</v>
      </c>
      <c r="J151" s="42"/>
      <c r="K151" s="21">
        <f t="shared" si="141"/>
        <v>51988.5</v>
      </c>
      <c r="L151" s="49">
        <f t="shared" si="142"/>
        <v>3.8969993105308909E-2</v>
      </c>
      <c r="M151" s="73"/>
      <c r="O151" s="33"/>
      <c r="P151" s="90"/>
      <c r="Q151" s="74"/>
      <c r="R151" s="72"/>
      <c r="S151" s="71"/>
      <c r="T151" s="71"/>
      <c r="U151" s="71"/>
    </row>
    <row r="152" spans="4:28" ht="17.25" x14ac:dyDescent="0.3">
      <c r="D152" s="20">
        <v>44276</v>
      </c>
      <c r="E152" s="21">
        <f t="shared" si="149"/>
        <v>51988.5</v>
      </c>
      <c r="F152" s="21">
        <f t="shared" si="140"/>
        <v>0</v>
      </c>
      <c r="G152" s="21">
        <f>G148</f>
        <v>0</v>
      </c>
      <c r="H152" s="56"/>
      <c r="I152" s="21">
        <v>916.5</v>
      </c>
      <c r="J152" s="42"/>
      <c r="K152" s="21">
        <f t="shared" si="141"/>
        <v>52905</v>
      </c>
      <c r="L152" s="49">
        <f t="shared" si="142"/>
        <v>1.7628898698750686E-2</v>
      </c>
      <c r="M152" s="73"/>
      <c r="O152" s="33"/>
      <c r="P152" s="90"/>
      <c r="Q152" s="74"/>
      <c r="R152" s="72"/>
      <c r="S152" s="71"/>
      <c r="T152" s="71"/>
      <c r="U152" s="71"/>
    </row>
    <row r="153" spans="4:28" ht="17.25" x14ac:dyDescent="0.3">
      <c r="D153" s="20">
        <v>44307</v>
      </c>
      <c r="E153" s="21">
        <f t="shared" si="149"/>
        <v>52905</v>
      </c>
      <c r="F153" s="21">
        <f t="shared" si="140"/>
        <v>0</v>
      </c>
      <c r="G153" s="21">
        <f>G149</f>
        <v>0</v>
      </c>
      <c r="H153" s="56"/>
      <c r="I153" s="21">
        <v>10622.5</v>
      </c>
      <c r="J153" s="42"/>
      <c r="K153" s="21">
        <f t="shared" si="141"/>
        <v>63527.5</v>
      </c>
      <c r="L153" s="49">
        <f t="shared" si="142"/>
        <v>0.20078442491257914</v>
      </c>
      <c r="M153" s="73"/>
      <c r="O153" s="33"/>
      <c r="P153" s="90"/>
      <c r="Q153" s="74"/>
      <c r="R153" s="72"/>
      <c r="S153" s="71"/>
      <c r="U153" s="71"/>
    </row>
    <row r="154" spans="4:28" ht="17.25" x14ac:dyDescent="0.3">
      <c r="D154" s="20">
        <v>44337</v>
      </c>
      <c r="E154" s="21">
        <f t="shared" si="149"/>
        <v>63527.5</v>
      </c>
      <c r="F154" s="21">
        <f t="shared" si="140"/>
        <v>0</v>
      </c>
      <c r="G154" s="21">
        <v>0</v>
      </c>
      <c r="H154" s="56"/>
      <c r="I154" s="21">
        <v>-3750.25</v>
      </c>
      <c r="J154" s="42"/>
      <c r="K154" s="21">
        <f t="shared" ref="K154:K161" si="150">E154+I154</f>
        <v>59777.25</v>
      </c>
      <c r="L154" s="49">
        <f t="shared" ref="L154:L161" si="151">I154/E154</f>
        <v>-5.9033489433709813E-2</v>
      </c>
      <c r="M154" s="73"/>
      <c r="O154" s="33"/>
      <c r="P154" s="33"/>
      <c r="Q154" s="33"/>
      <c r="R154" s="33"/>
      <c r="S154" s="33"/>
      <c r="T154" s="33"/>
      <c r="U154" s="33"/>
    </row>
    <row r="155" spans="4:28" ht="17.25" x14ac:dyDescent="0.3">
      <c r="D155" s="20">
        <v>44368</v>
      </c>
      <c r="E155" s="21">
        <f t="shared" si="149"/>
        <v>59777.25</v>
      </c>
      <c r="F155" s="21">
        <f t="shared" si="140"/>
        <v>0</v>
      </c>
      <c r="G155" s="21">
        <v>0</v>
      </c>
      <c r="H155"/>
      <c r="I155" s="21">
        <v>4100</v>
      </c>
      <c r="J155"/>
      <c r="K155" s="21">
        <f t="shared" si="150"/>
        <v>63877.25</v>
      </c>
      <c r="L155" s="49">
        <f t="shared" si="151"/>
        <v>6.8587966157693775E-2</v>
      </c>
      <c r="M155"/>
      <c r="N155"/>
      <c r="O155" s="33"/>
      <c r="Q155" s="74"/>
      <c r="U155" s="71"/>
      <c r="Y155" s="29">
        <v>5</v>
      </c>
      <c r="Z155" s="32"/>
      <c r="AB155" s="2"/>
    </row>
    <row r="156" spans="4:28" ht="17.25" x14ac:dyDescent="0.3">
      <c r="D156" s="20">
        <v>44398</v>
      </c>
      <c r="E156" s="21">
        <f t="shared" si="149"/>
        <v>63877.25</v>
      </c>
      <c r="F156" s="21">
        <f t="shared" si="140"/>
        <v>0</v>
      </c>
      <c r="G156" s="21">
        <v>0</v>
      </c>
      <c r="H156"/>
      <c r="I156" s="21">
        <v>4888</v>
      </c>
      <c r="J156"/>
      <c r="K156" s="21">
        <f t="shared" si="150"/>
        <v>68765.25</v>
      </c>
      <c r="L156" s="49">
        <f t="shared" si="151"/>
        <v>7.6521766356566698E-2</v>
      </c>
      <c r="M156"/>
      <c r="N156"/>
      <c r="O156" s="33"/>
      <c r="Q156" s="74"/>
    </row>
    <row r="157" spans="4:28" ht="17.25" x14ac:dyDescent="0.3">
      <c r="D157" s="20">
        <v>44429</v>
      </c>
      <c r="E157" s="21">
        <f t="shared" si="149"/>
        <v>68765.25</v>
      </c>
      <c r="F157" s="21">
        <f t="shared" si="140"/>
        <v>0</v>
      </c>
      <c r="G157" s="21">
        <v>0</v>
      </c>
      <c r="H157"/>
      <c r="I157" s="21">
        <v>6731</v>
      </c>
      <c r="J157"/>
      <c r="K157" s="21">
        <f t="shared" si="150"/>
        <v>75496.25</v>
      </c>
      <c r="L157" s="49">
        <f t="shared" si="151"/>
        <v>9.7883742151740893E-2</v>
      </c>
      <c r="M157"/>
      <c r="N157"/>
      <c r="O157" s="33"/>
      <c r="Q157" s="74"/>
    </row>
    <row r="158" spans="4:28" ht="17.25" x14ac:dyDescent="0.3">
      <c r="D158" s="20">
        <v>44460</v>
      </c>
      <c r="E158" s="21">
        <f t="shared" si="149"/>
        <v>75496.25</v>
      </c>
      <c r="F158" s="21">
        <f t="shared" si="140"/>
        <v>0</v>
      </c>
      <c r="G158" s="21">
        <v>0</v>
      </c>
      <c r="H158"/>
      <c r="I158" s="21">
        <v>1982</v>
      </c>
      <c r="J158"/>
      <c r="K158" s="21">
        <f t="shared" si="150"/>
        <v>77478.25</v>
      </c>
      <c r="L158" s="49">
        <f t="shared" si="151"/>
        <v>2.6252959584085304E-2</v>
      </c>
      <c r="M158"/>
      <c r="N158"/>
      <c r="O158" s="33"/>
      <c r="Q158" s="74"/>
    </row>
    <row r="159" spans="4:28" ht="17.25" x14ac:dyDescent="0.3">
      <c r="D159" s="20">
        <v>44490</v>
      </c>
      <c r="E159" s="21">
        <f t="shared" si="149"/>
        <v>77478.25</v>
      </c>
      <c r="F159" s="21">
        <f t="shared" si="140"/>
        <v>0</v>
      </c>
      <c r="G159" s="21">
        <v>0</v>
      </c>
      <c r="H159"/>
      <c r="I159" s="21">
        <v>336.5</v>
      </c>
      <c r="J159"/>
      <c r="K159" s="21">
        <f t="shared" si="150"/>
        <v>77814.75</v>
      </c>
      <c r="L159" s="49">
        <f t="shared" si="151"/>
        <v>4.3431543691294008E-3</v>
      </c>
      <c r="M159"/>
      <c r="N159"/>
      <c r="O159" s="33"/>
      <c r="Q159" s="74"/>
    </row>
    <row r="160" spans="4:28" ht="17.25" x14ac:dyDescent="0.3">
      <c r="D160" s="20">
        <v>44886</v>
      </c>
      <c r="E160" s="21">
        <f t="shared" si="149"/>
        <v>77814.75</v>
      </c>
      <c r="F160" s="21">
        <f t="shared" si="140"/>
        <v>0</v>
      </c>
      <c r="G160" s="21">
        <v>0</v>
      </c>
      <c r="H160"/>
      <c r="I160" s="21">
        <v>-1537.5</v>
      </c>
      <c r="J160"/>
      <c r="K160" s="21">
        <f t="shared" si="150"/>
        <v>76277.25</v>
      </c>
      <c r="L160" s="49">
        <f t="shared" si="151"/>
        <v>-1.9758464815475215E-2</v>
      </c>
      <c r="M160"/>
      <c r="N160"/>
      <c r="O160" s="33"/>
      <c r="Q160" s="74"/>
    </row>
    <row r="161" spans="4:28" ht="17.25" x14ac:dyDescent="0.3">
      <c r="D161" s="20">
        <v>44916</v>
      </c>
      <c r="E161" s="21">
        <f t="shared" si="149"/>
        <v>76277.25</v>
      </c>
      <c r="F161" s="21">
        <f t="shared" si="140"/>
        <v>0</v>
      </c>
      <c r="G161" s="21">
        <v>0</v>
      </c>
      <c r="H161"/>
      <c r="I161" s="21">
        <v>-7175.25</v>
      </c>
      <c r="J161"/>
      <c r="K161" s="21">
        <f t="shared" si="150"/>
        <v>69102</v>
      </c>
      <c r="L161" s="49">
        <f t="shared" si="151"/>
        <v>-9.4068021592283418E-2</v>
      </c>
      <c r="M161"/>
      <c r="N161"/>
      <c r="O161" s="33"/>
      <c r="Q161" s="74"/>
      <c r="X161" s="73"/>
    </row>
    <row r="162" spans="4:28" ht="17.25" x14ac:dyDescent="0.3">
      <c r="D162" s="20"/>
      <c r="E162" s="21"/>
      <c r="F162" s="21"/>
      <c r="G162" s="21"/>
      <c r="H162"/>
      <c r="I162" s="19" t="s">
        <v>11</v>
      </c>
      <c r="J162"/>
      <c r="K162" s="21"/>
      <c r="L162" s="50" t="s">
        <v>12</v>
      </c>
      <c r="M162" s="73">
        <f>I163</f>
        <v>19102</v>
      </c>
      <c r="N162" s="29">
        <v>12</v>
      </c>
    </row>
    <row r="163" spans="4:28" ht="17.25" x14ac:dyDescent="0.3">
      <c r="D163" s="82"/>
      <c r="E163" s="19"/>
      <c r="F163" s="19"/>
      <c r="G163" s="19"/>
      <c r="H163" s="56"/>
      <c r="I163" s="22">
        <f>SUM(I150:I162)</f>
        <v>19102</v>
      </c>
      <c r="J163" s="42"/>
      <c r="K163" s="23"/>
      <c r="L163" s="51">
        <f>I163/E150</f>
        <v>0.38203999999999999</v>
      </c>
      <c r="M163" s="73"/>
    </row>
    <row r="164" spans="4:28" ht="17.25" x14ac:dyDescent="0.3">
      <c r="D164" s="82"/>
      <c r="E164" s="19"/>
      <c r="F164" s="19"/>
      <c r="G164" s="19"/>
      <c r="H164" s="56"/>
      <c r="I164" s="22"/>
      <c r="J164" s="42"/>
      <c r="K164" s="23"/>
      <c r="L164" s="51"/>
      <c r="M164" s="73"/>
    </row>
    <row r="165" spans="4:28" ht="17.25" x14ac:dyDescent="0.3">
      <c r="D165" s="20">
        <v>44583</v>
      </c>
      <c r="E165" s="21">
        <f>E150</f>
        <v>50000</v>
      </c>
      <c r="F165" s="21">
        <f t="shared" ref="F165:F176" si="152">F161</f>
        <v>0</v>
      </c>
      <c r="G165" s="21">
        <f>E150-K161</f>
        <v>-19102</v>
      </c>
      <c r="H165" s="56"/>
      <c r="I165" s="21">
        <v>17625</v>
      </c>
      <c r="J165" s="42"/>
      <c r="K165" s="21">
        <f t="shared" ref="K165:K170" si="153">E165+I165</f>
        <v>67625</v>
      </c>
      <c r="L165" s="49">
        <f t="shared" ref="L165:L170" si="154">I165/E165</f>
        <v>0.35249999999999998</v>
      </c>
      <c r="M165" s="73"/>
      <c r="O165"/>
    </row>
    <row r="166" spans="4:28" ht="17.25" x14ac:dyDescent="0.3">
      <c r="D166" s="20">
        <v>44614</v>
      </c>
      <c r="E166" s="21">
        <f t="shared" ref="E166:E171" si="155">K165</f>
        <v>67625</v>
      </c>
      <c r="F166" s="21">
        <f t="shared" si="152"/>
        <v>0</v>
      </c>
      <c r="G166" s="21">
        <f>G161</f>
        <v>0</v>
      </c>
      <c r="H166" s="56"/>
      <c r="I166" s="21">
        <v>6948</v>
      </c>
      <c r="J166" s="42"/>
      <c r="K166" s="21">
        <f t="shared" si="153"/>
        <v>74573</v>
      </c>
      <c r="L166" s="49">
        <f t="shared" si="154"/>
        <v>0.10274306839186691</v>
      </c>
      <c r="M166" s="73"/>
      <c r="O166"/>
    </row>
    <row r="167" spans="4:28" ht="17.25" x14ac:dyDescent="0.3">
      <c r="D167" s="20" t="s">
        <v>110</v>
      </c>
      <c r="E167" s="21">
        <f t="shared" si="155"/>
        <v>74573</v>
      </c>
      <c r="F167" s="21">
        <f t="shared" si="152"/>
        <v>0</v>
      </c>
      <c r="G167" s="21">
        <f t="shared" ref="G167:G172" si="156">G166</f>
        <v>0</v>
      </c>
      <c r="H167" s="56"/>
      <c r="I167" s="21">
        <v>3911.12</v>
      </c>
      <c r="J167" s="42"/>
      <c r="K167" s="21">
        <f t="shared" si="153"/>
        <v>78484.12</v>
      </c>
      <c r="L167" s="49">
        <f t="shared" si="154"/>
        <v>5.244686414654097E-2</v>
      </c>
      <c r="M167" s="73"/>
      <c r="O167"/>
    </row>
    <row r="168" spans="4:28" ht="17.25" x14ac:dyDescent="0.3">
      <c r="D168" s="20">
        <v>44673</v>
      </c>
      <c r="E168" s="21">
        <f t="shared" si="155"/>
        <v>78484.12</v>
      </c>
      <c r="F168" s="21">
        <f t="shared" si="152"/>
        <v>0</v>
      </c>
      <c r="G168" s="21">
        <f t="shared" si="156"/>
        <v>0</v>
      </c>
      <c r="H168" s="56"/>
      <c r="I168" s="21">
        <f>7948.5*0.66</f>
        <v>5246.01</v>
      </c>
      <c r="J168" s="42"/>
      <c r="K168" s="21">
        <f t="shared" si="153"/>
        <v>83730.12999999999</v>
      </c>
      <c r="L168" s="49">
        <f t="shared" si="154"/>
        <v>6.6841674468669593E-2</v>
      </c>
      <c r="M168" s="73"/>
      <c r="O168"/>
    </row>
    <row r="169" spans="4:28" ht="17.25" x14ac:dyDescent="0.3">
      <c r="D169" s="20">
        <v>44703</v>
      </c>
      <c r="E169" s="21">
        <f t="shared" si="155"/>
        <v>83730.12999999999</v>
      </c>
      <c r="F169" s="21">
        <f t="shared" si="152"/>
        <v>0</v>
      </c>
      <c r="G169" s="21">
        <f t="shared" si="156"/>
        <v>0</v>
      </c>
      <c r="H169" s="56"/>
      <c r="I169" s="21">
        <v>-387.5</v>
      </c>
      <c r="J169" s="42"/>
      <c r="K169" s="21">
        <f t="shared" si="153"/>
        <v>83342.62999999999</v>
      </c>
      <c r="L169" s="49">
        <f t="shared" si="154"/>
        <v>-4.6279636732918013E-3</v>
      </c>
      <c r="M169" s="73"/>
      <c r="O169"/>
    </row>
    <row r="170" spans="4:28" ht="17.25" x14ac:dyDescent="0.3">
      <c r="D170" s="20">
        <v>44734</v>
      </c>
      <c r="E170" s="21">
        <f t="shared" si="155"/>
        <v>83342.62999999999</v>
      </c>
      <c r="F170" s="21">
        <f t="shared" si="152"/>
        <v>0</v>
      </c>
      <c r="G170" s="21">
        <f t="shared" si="156"/>
        <v>0</v>
      </c>
      <c r="H170" s="56"/>
      <c r="I170" s="21">
        <v>615.5</v>
      </c>
      <c r="J170" s="42"/>
      <c r="K170" s="21">
        <f t="shared" si="153"/>
        <v>83958.12999999999</v>
      </c>
      <c r="L170" s="49">
        <f t="shared" si="154"/>
        <v>7.3851761097531972E-3</v>
      </c>
      <c r="M170" s="73"/>
      <c r="O170"/>
    </row>
    <row r="171" spans="4:28" ht="17.25" x14ac:dyDescent="0.3">
      <c r="D171" s="20">
        <v>44764</v>
      </c>
      <c r="E171" s="21">
        <f t="shared" si="155"/>
        <v>83958.12999999999</v>
      </c>
      <c r="F171" s="21">
        <f t="shared" si="152"/>
        <v>0</v>
      </c>
      <c r="G171" s="21">
        <f t="shared" si="156"/>
        <v>0</v>
      </c>
      <c r="H171" s="56"/>
      <c r="I171" s="21">
        <v>1244.5</v>
      </c>
      <c r="J171" s="42"/>
      <c r="K171" s="21">
        <f t="shared" ref="K171" si="157">E171+I171</f>
        <v>85202.62999999999</v>
      </c>
      <c r="L171" s="49">
        <f t="shared" ref="L171" si="158">I171/E171</f>
        <v>1.4822864682669804E-2</v>
      </c>
      <c r="M171" s="73"/>
      <c r="O171"/>
    </row>
    <row r="172" spans="4:28" ht="17.25" x14ac:dyDescent="0.3">
      <c r="D172" s="20">
        <v>44795</v>
      </c>
      <c r="E172" s="21">
        <f t="shared" ref="E172" si="159">K171</f>
        <v>85202.62999999999</v>
      </c>
      <c r="F172" s="21">
        <f t="shared" si="152"/>
        <v>0</v>
      </c>
      <c r="G172" s="21">
        <f t="shared" si="156"/>
        <v>0</v>
      </c>
      <c r="H172" s="56"/>
      <c r="I172" s="21">
        <v>-68.75</v>
      </c>
      <c r="J172" s="42"/>
      <c r="K172" s="21">
        <f t="shared" ref="K172" si="160">E172+I172</f>
        <v>85133.87999999999</v>
      </c>
      <c r="L172" s="49">
        <f t="shared" ref="L172" si="161">I172/E172</f>
        <v>-8.0689997480124745E-4</v>
      </c>
      <c r="M172"/>
      <c r="N172"/>
      <c r="O172"/>
      <c r="W172" s="50" t="s">
        <v>12</v>
      </c>
      <c r="Y172" s="29">
        <v>7</v>
      </c>
      <c r="Z172" s="32"/>
      <c r="AB172" s="2"/>
    </row>
    <row r="173" spans="4:28" ht="17.25" x14ac:dyDescent="0.3">
      <c r="D173" s="20">
        <v>44826</v>
      </c>
      <c r="E173" s="21">
        <f t="shared" ref="E173" si="162">K172</f>
        <v>85133.87999999999</v>
      </c>
      <c r="F173" s="21">
        <f t="shared" si="152"/>
        <v>0</v>
      </c>
      <c r="G173" s="21">
        <f t="shared" ref="G173:G176" si="163">G172</f>
        <v>0</v>
      </c>
      <c r="H173" s="56"/>
      <c r="I173" s="21">
        <v>17460</v>
      </c>
      <c r="J173" s="42"/>
      <c r="K173" s="21">
        <f t="shared" ref="K173" si="164">E173+I173</f>
        <v>102593.87999999999</v>
      </c>
      <c r="L173" s="49">
        <f t="shared" ref="L173" si="165">I173/E173</f>
        <v>0.20508873787967849</v>
      </c>
      <c r="M173"/>
      <c r="N173"/>
      <c r="Y173" s="29"/>
      <c r="Z173" s="32"/>
      <c r="AB173" s="2"/>
    </row>
    <row r="174" spans="4:28" ht="17.25" x14ac:dyDescent="0.3">
      <c r="D174" s="20">
        <v>44856</v>
      </c>
      <c r="E174" s="21">
        <f t="shared" ref="E174:E175" si="166">K173</f>
        <v>102593.87999999999</v>
      </c>
      <c r="F174" s="21">
        <f t="shared" si="152"/>
        <v>0</v>
      </c>
      <c r="G174" s="21">
        <f t="shared" si="163"/>
        <v>0</v>
      </c>
      <c r="H174" s="56"/>
      <c r="I174" s="21">
        <v>-9948.5</v>
      </c>
      <c r="J174" s="42"/>
      <c r="K174" s="21">
        <f t="shared" ref="K174:K175" si="167">E174+I174</f>
        <v>92645.37999999999</v>
      </c>
      <c r="L174" s="49">
        <f t="shared" ref="L174:L175" si="168">I174/E174</f>
        <v>-9.6969721780675422E-2</v>
      </c>
      <c r="M174"/>
      <c r="N174"/>
    </row>
    <row r="175" spans="4:28" ht="17.25" x14ac:dyDescent="0.3">
      <c r="D175" s="20">
        <v>44887</v>
      </c>
      <c r="E175" s="21">
        <f t="shared" si="166"/>
        <v>92645.37999999999</v>
      </c>
      <c r="F175" s="21">
        <f t="shared" si="152"/>
        <v>0</v>
      </c>
      <c r="G175" s="21">
        <f t="shared" si="163"/>
        <v>0</v>
      </c>
      <c r="H175" s="56"/>
      <c r="I175" s="21">
        <v>8290.08</v>
      </c>
      <c r="J175" s="42"/>
      <c r="K175" s="21">
        <f t="shared" si="167"/>
        <v>100935.45999999999</v>
      </c>
      <c r="L175" s="49">
        <f t="shared" si="168"/>
        <v>8.9481850039365166E-2</v>
      </c>
    </row>
    <row r="176" spans="4:28" ht="17.25" x14ac:dyDescent="0.3">
      <c r="D176" s="20">
        <v>44917</v>
      </c>
      <c r="E176" s="21">
        <f t="shared" ref="E176" si="169">K175</f>
        <v>100935.45999999999</v>
      </c>
      <c r="F176" s="21">
        <f t="shared" si="152"/>
        <v>0</v>
      </c>
      <c r="G176" s="21">
        <f t="shared" si="163"/>
        <v>0</v>
      </c>
      <c r="H176" s="56"/>
      <c r="I176" s="21">
        <v>-6346.12</v>
      </c>
      <c r="J176" s="42"/>
      <c r="K176" s="21">
        <f t="shared" ref="K176" si="170">E176+I176</f>
        <v>94589.34</v>
      </c>
      <c r="L176" s="49">
        <f t="shared" ref="L176" si="171">I176/E176</f>
        <v>-6.2873047787170136E-2</v>
      </c>
      <c r="M176" s="73"/>
    </row>
    <row r="177" spans="4:24" ht="17.25" x14ac:dyDescent="0.3">
      <c r="D177" s="20"/>
      <c r="E177" s="21"/>
      <c r="F177" s="21"/>
      <c r="G177" s="21"/>
      <c r="H177" s="56"/>
      <c r="I177" s="19" t="s">
        <v>11</v>
      </c>
      <c r="J177" s="42"/>
      <c r="K177" s="21"/>
      <c r="L177" s="50" t="s">
        <v>12</v>
      </c>
      <c r="M177" s="73">
        <f>I178</f>
        <v>44589.34</v>
      </c>
      <c r="N177" s="29">
        <v>12</v>
      </c>
    </row>
    <row r="178" spans="4:24" ht="17.25" x14ac:dyDescent="0.3">
      <c r="D178" s="82"/>
      <c r="E178" s="19"/>
      <c r="F178" s="19"/>
      <c r="G178" s="19"/>
      <c r="H178" s="56"/>
      <c r="I178" s="22">
        <f>SUM(I165:I176)</f>
        <v>44589.34</v>
      </c>
      <c r="J178" s="42"/>
      <c r="K178" s="23"/>
      <c r="L178" s="51">
        <f>I178/E165</f>
        <v>0.89178679999999988</v>
      </c>
      <c r="M178" s="73"/>
      <c r="X178" s="73"/>
    </row>
    <row r="179" spans="4:24" ht="21.75" customHeight="1" x14ac:dyDescent="0.3">
      <c r="D179" s="82"/>
      <c r="E179" s="19"/>
      <c r="F179" s="19"/>
      <c r="G179" s="19"/>
      <c r="H179" s="56"/>
      <c r="I179" s="22"/>
      <c r="J179" s="42"/>
      <c r="K179" s="23"/>
      <c r="L179" s="51"/>
      <c r="X179" s="73"/>
    </row>
    <row r="180" spans="4:24" ht="21.75" customHeight="1" x14ac:dyDescent="0.3">
      <c r="D180" s="20">
        <v>44949</v>
      </c>
      <c r="E180" s="21">
        <f>E165</f>
        <v>50000</v>
      </c>
      <c r="F180" s="21">
        <f>F173</f>
        <v>0</v>
      </c>
      <c r="G180" s="21">
        <f>G176</f>
        <v>0</v>
      </c>
      <c r="H180" s="56"/>
      <c r="I180" s="21">
        <v>3153.95</v>
      </c>
      <c r="J180" s="42"/>
      <c r="K180" s="21">
        <f t="shared" ref="K180:K181" si="172">E180+I180</f>
        <v>53153.95</v>
      </c>
      <c r="L180" s="49">
        <f t="shared" ref="L180:L181" si="173">I180/E180</f>
        <v>6.3078999999999996E-2</v>
      </c>
    </row>
    <row r="181" spans="4:24" ht="21.75" customHeight="1" x14ac:dyDescent="0.3">
      <c r="D181" s="20">
        <v>44615</v>
      </c>
      <c r="E181" s="21">
        <f t="shared" ref="E181" si="174">K180</f>
        <v>53153.95</v>
      </c>
      <c r="F181" s="21">
        <f t="shared" ref="F181:F187" si="175">F177</f>
        <v>0</v>
      </c>
      <c r="G181" s="21">
        <f t="shared" ref="G181:G187" si="176">G176</f>
        <v>0</v>
      </c>
      <c r="H181" s="56"/>
      <c r="I181" s="21">
        <v>3325.5</v>
      </c>
      <c r="J181" s="42"/>
      <c r="K181" s="21">
        <f t="shared" si="172"/>
        <v>56479.45</v>
      </c>
      <c r="L181" s="49">
        <f t="shared" si="173"/>
        <v>6.25635536023193E-2</v>
      </c>
    </row>
    <row r="182" spans="4:24" ht="21.75" customHeight="1" x14ac:dyDescent="0.3">
      <c r="D182" s="20">
        <v>44643</v>
      </c>
      <c r="E182" s="21">
        <f t="shared" ref="E182" si="177">K181</f>
        <v>56479.45</v>
      </c>
      <c r="F182" s="21">
        <f t="shared" si="175"/>
        <v>0</v>
      </c>
      <c r="G182" s="21">
        <f t="shared" si="176"/>
        <v>0</v>
      </c>
      <c r="H182" s="56"/>
      <c r="I182" s="21">
        <v>4920.5</v>
      </c>
      <c r="J182" s="42"/>
      <c r="K182" s="21">
        <f t="shared" ref="K182" si="178">E182+I182</f>
        <v>61399.95</v>
      </c>
      <c r="L182" s="49">
        <f t="shared" ref="L182" si="179">I182/E182</f>
        <v>8.7120182650503863E-2</v>
      </c>
    </row>
    <row r="183" spans="4:24" ht="21.75" customHeight="1" x14ac:dyDescent="0.3">
      <c r="D183" s="20">
        <v>44674</v>
      </c>
      <c r="E183" s="21">
        <f t="shared" ref="E183" si="180">K182</f>
        <v>61399.95</v>
      </c>
      <c r="F183" s="21">
        <f t="shared" si="175"/>
        <v>0</v>
      </c>
      <c r="G183" s="21">
        <f t="shared" si="176"/>
        <v>0</v>
      </c>
      <c r="H183" s="56"/>
      <c r="I183" s="21">
        <v>4202.75</v>
      </c>
      <c r="J183" s="42"/>
      <c r="K183" s="21">
        <f t="shared" ref="K183" si="181">E183+I183</f>
        <v>65602.7</v>
      </c>
      <c r="L183" s="49">
        <f t="shared" ref="L183" si="182">I183/E183</f>
        <v>6.844875280843063E-2</v>
      </c>
    </row>
    <row r="184" spans="4:24" ht="21.75" customHeight="1" x14ac:dyDescent="0.3">
      <c r="D184" s="20">
        <v>44704</v>
      </c>
      <c r="E184" s="21">
        <f t="shared" ref="E184" si="183">K183</f>
        <v>65602.7</v>
      </c>
      <c r="F184" s="21">
        <f t="shared" si="175"/>
        <v>0</v>
      </c>
      <c r="G184" s="21">
        <f t="shared" si="176"/>
        <v>0</v>
      </c>
      <c r="H184" s="56"/>
      <c r="I184" s="21">
        <v>25</v>
      </c>
      <c r="J184" s="42"/>
      <c r="K184" s="21">
        <f t="shared" ref="K184" si="184">E184+I184</f>
        <v>65627.7</v>
      </c>
      <c r="L184" s="49">
        <f t="shared" ref="L184" si="185">I184/E184</f>
        <v>3.8108187620326605E-4</v>
      </c>
    </row>
    <row r="185" spans="4:24" ht="21.75" customHeight="1" x14ac:dyDescent="0.3">
      <c r="D185" s="20">
        <v>44735</v>
      </c>
      <c r="E185" s="21">
        <f t="shared" ref="E185" si="186">K184</f>
        <v>65627.7</v>
      </c>
      <c r="F185" s="21">
        <f t="shared" si="175"/>
        <v>0</v>
      </c>
      <c r="G185" s="21">
        <f t="shared" si="176"/>
        <v>0</v>
      </c>
      <c r="H185" s="56"/>
      <c r="I185" s="21">
        <v>13012.5</v>
      </c>
      <c r="J185" s="42"/>
      <c r="K185" s="21">
        <f t="shared" ref="K185" si="187">E185+I185</f>
        <v>78640.2</v>
      </c>
      <c r="L185" s="49">
        <f t="shared" ref="L185" si="188">I185/E185</f>
        <v>0.19827755658052926</v>
      </c>
    </row>
    <row r="186" spans="4:24" ht="21.75" customHeight="1" x14ac:dyDescent="0.3">
      <c r="D186" s="20">
        <v>44765</v>
      </c>
      <c r="E186" s="21">
        <f t="shared" ref="E186" si="189">K185</f>
        <v>78640.2</v>
      </c>
      <c r="F186" s="21">
        <f t="shared" si="175"/>
        <v>0</v>
      </c>
      <c r="G186" s="21">
        <f t="shared" si="176"/>
        <v>0</v>
      </c>
      <c r="H186" s="56"/>
      <c r="I186" s="21">
        <v>5600</v>
      </c>
      <c r="J186" s="42"/>
      <c r="K186" s="21">
        <f t="shared" ref="K186" si="190">E186+I186</f>
        <v>84240.2</v>
      </c>
      <c r="L186" s="49">
        <f t="shared" ref="L186" si="191">I186/E186</f>
        <v>7.1210398752800733E-2</v>
      </c>
    </row>
    <row r="187" spans="4:24" ht="21.75" customHeight="1" x14ac:dyDescent="0.3">
      <c r="D187" s="20">
        <v>44796</v>
      </c>
      <c r="E187" s="21">
        <f t="shared" ref="E187" si="192">K186</f>
        <v>84240.2</v>
      </c>
      <c r="F187" s="21">
        <f t="shared" si="175"/>
        <v>0</v>
      </c>
      <c r="G187" s="21">
        <f t="shared" si="176"/>
        <v>0</v>
      </c>
      <c r="H187" s="56"/>
      <c r="I187" s="21">
        <v>-3725.25</v>
      </c>
      <c r="J187" s="42"/>
      <c r="K187" s="21">
        <f t="shared" ref="K187" si="193">E187+I187</f>
        <v>80514.95</v>
      </c>
      <c r="L187" s="49">
        <f t="shared" ref="L187" si="194">I187/E187</f>
        <v>-4.4221761106929949E-2</v>
      </c>
    </row>
    <row r="188" spans="4:24" ht="21.75" customHeight="1" x14ac:dyDescent="0.3">
      <c r="D188" s="82"/>
      <c r="E188" s="19"/>
      <c r="F188" s="19"/>
      <c r="G188" s="19"/>
      <c r="H188" s="56"/>
      <c r="I188" s="19" t="s">
        <v>11</v>
      </c>
      <c r="J188" s="42"/>
      <c r="K188" s="23"/>
      <c r="L188" s="51"/>
      <c r="P188" s="21"/>
      <c r="Q188" s="21"/>
      <c r="R188" s="21"/>
      <c r="T188" s="19" t="s">
        <v>11</v>
      </c>
      <c r="V188" s="21"/>
      <c r="W188" s="50" t="s">
        <v>12</v>
      </c>
    </row>
    <row r="189" spans="4:24" ht="21.75" customHeight="1" x14ac:dyDescent="0.3">
      <c r="D189" s="82"/>
      <c r="E189" s="19"/>
      <c r="F189" s="19"/>
      <c r="G189" s="19"/>
      <c r="H189" s="56"/>
      <c r="I189" s="22">
        <f>SUM(I180:I188)</f>
        <v>30514.949999999997</v>
      </c>
      <c r="J189" s="42"/>
      <c r="K189" s="23"/>
      <c r="L189" s="51">
        <f>I189/E180</f>
        <v>0.61029899999999992</v>
      </c>
      <c r="M189" s="73">
        <f>I189</f>
        <v>30514.949999999997</v>
      </c>
      <c r="N189" s="29">
        <v>8</v>
      </c>
      <c r="P189" s="21"/>
      <c r="Q189" s="21"/>
      <c r="R189" s="21"/>
      <c r="T189" s="19"/>
      <c r="V189" s="21"/>
      <c r="W189" s="50"/>
    </row>
    <row r="190" spans="4:24" ht="21.75" customHeight="1" x14ac:dyDescent="0.3">
      <c r="D190" s="82"/>
      <c r="E190" s="19"/>
      <c r="F190" s="19"/>
      <c r="G190" s="19"/>
      <c r="H190" s="56"/>
      <c r="I190" s="22"/>
      <c r="J190" s="42"/>
      <c r="K190" s="23"/>
      <c r="L190" s="51"/>
      <c r="M190" s="3" t="s">
        <v>102</v>
      </c>
      <c r="N190" s="29" t="s">
        <v>14</v>
      </c>
      <c r="P190" s="21"/>
      <c r="Q190" s="21"/>
      <c r="R190" s="21"/>
      <c r="T190" s="19"/>
      <c r="V190" s="21"/>
      <c r="W190" s="50"/>
    </row>
    <row r="191" spans="4:24" ht="21.75" customHeight="1" x14ac:dyDescent="0.3">
      <c r="D191" s="82"/>
      <c r="E191" s="19"/>
      <c r="F191" s="19"/>
      <c r="G191" s="19"/>
      <c r="H191" s="56"/>
      <c r="I191" s="22"/>
      <c r="J191" s="42"/>
      <c r="K191" s="23"/>
      <c r="L191" s="51"/>
      <c r="M191" s="2">
        <f>SUM(M2:M190)</f>
        <v>425569.93</v>
      </c>
      <c r="N191" s="87">
        <f>SUM(N2:N190)</f>
        <v>147</v>
      </c>
      <c r="P191" s="21"/>
      <c r="Q191" s="21"/>
      <c r="R191" s="21"/>
      <c r="T191" s="19"/>
      <c r="V191" s="21"/>
      <c r="W191" s="50"/>
    </row>
    <row r="192" spans="4:24" ht="21.75" customHeight="1" x14ac:dyDescent="0.3">
      <c r="D192" s="82"/>
      <c r="E192" s="19"/>
      <c r="F192" s="19"/>
      <c r="G192" s="19"/>
      <c r="H192" s="56"/>
      <c r="I192" s="22"/>
      <c r="J192" s="42"/>
      <c r="K192" s="23"/>
      <c r="L192" s="51"/>
      <c r="M192" s="2"/>
      <c r="N192" s="87"/>
    </row>
    <row r="193" spans="4:22" ht="21.75" customHeight="1" x14ac:dyDescent="0.3">
      <c r="D193" s="82"/>
      <c r="E193" s="19"/>
      <c r="F193" s="19"/>
      <c r="G193" s="19"/>
      <c r="H193" s="56"/>
      <c r="I193" s="22"/>
      <c r="J193" s="42"/>
      <c r="K193" s="23">
        <f>20*37.5</f>
        <v>750</v>
      </c>
      <c r="L193" s="51"/>
      <c r="M193" s="2"/>
    </row>
    <row r="194" spans="4:22" ht="21.75" customHeight="1" x14ac:dyDescent="0.3">
      <c r="D194" s="10">
        <v>-3692.25</v>
      </c>
      <c r="E194" s="19"/>
      <c r="F194" s="19"/>
      <c r="G194" s="19"/>
      <c r="H194" s="56"/>
      <c r="I194" s="22"/>
      <c r="J194" s="42"/>
      <c r="K194" s="23">
        <f>120*37.5</f>
        <v>4500</v>
      </c>
      <c r="L194" s="51"/>
      <c r="M194" s="2"/>
      <c r="O194" s="20"/>
    </row>
    <row r="195" spans="4:22" ht="21.75" customHeight="1" x14ac:dyDescent="0.3">
      <c r="D195" s="10">
        <v>3809.25</v>
      </c>
      <c r="E195" s="19"/>
      <c r="F195" s="19"/>
      <c r="G195" s="19" t="s">
        <v>109</v>
      </c>
      <c r="H195" s="56"/>
      <c r="I195" s="22">
        <f>(SUM(I173:I176))+I189</f>
        <v>39970.409999999996</v>
      </c>
      <c r="J195" s="42"/>
      <c r="K195" s="23"/>
      <c r="L195" s="51"/>
      <c r="M195" s="2"/>
      <c r="O195" s="20"/>
    </row>
    <row r="196" spans="4:22" ht="21.75" customHeight="1" x14ac:dyDescent="0.3">
      <c r="D196" s="10">
        <f>SUM(D194:D195)</f>
        <v>117</v>
      </c>
      <c r="H196" s="57"/>
      <c r="I196" s="14"/>
      <c r="J196" s="45"/>
      <c r="K196" s="83"/>
      <c r="L196" s="52"/>
      <c r="M196" s="2"/>
      <c r="O196" s="20"/>
    </row>
    <row r="197" spans="4:22" ht="21.75" customHeight="1" x14ac:dyDescent="0.3">
      <c r="D197" s="10"/>
      <c r="H197" s="57"/>
      <c r="I197" s="14"/>
      <c r="J197" s="45"/>
      <c r="K197" s="83"/>
      <c r="L197" s="52"/>
      <c r="M197" s="2"/>
      <c r="O197" s="20"/>
    </row>
    <row r="198" spans="4:22" ht="21.75" customHeight="1" x14ac:dyDescent="0.3">
      <c r="D198" s="10">
        <f>D196*50</f>
        <v>5850</v>
      </c>
      <c r="H198" s="57"/>
      <c r="I198" s="14"/>
      <c r="J198" s="45"/>
      <c r="K198" s="83"/>
      <c r="L198" s="52"/>
      <c r="M198" s="2"/>
      <c r="O198" s="20"/>
      <c r="V198" s="19"/>
    </row>
    <row r="199" spans="4:22" ht="21.75" customHeight="1" x14ac:dyDescent="0.3">
      <c r="D199" s="10"/>
      <c r="F199" s="8" t="s">
        <v>17</v>
      </c>
      <c r="H199" s="57"/>
      <c r="I199" s="79">
        <v>-13635.63</v>
      </c>
      <c r="J199" s="45"/>
      <c r="K199" s="91">
        <f>I199*2</f>
        <v>-27271.26</v>
      </c>
      <c r="L199" s="52"/>
      <c r="M199" s="2"/>
      <c r="O199" s="20"/>
      <c r="P199" s="19"/>
      <c r="Q199" s="19"/>
      <c r="R199" s="19"/>
      <c r="S199" s="56"/>
      <c r="T199" s="19" t="s">
        <v>11</v>
      </c>
      <c r="U199" s="40"/>
    </row>
    <row r="200" spans="4:22" ht="21.75" customHeight="1" x14ac:dyDescent="0.3">
      <c r="D200" s="17"/>
      <c r="F200" s="8" t="s">
        <v>106</v>
      </c>
      <c r="H200" s="57"/>
      <c r="I200" s="52">
        <f>I199/E135</f>
        <v>-0.27271259999999997</v>
      </c>
      <c r="J200" s="45"/>
      <c r="K200" s="6"/>
      <c r="L200" s="52"/>
      <c r="M200" s="2"/>
      <c r="O200" s="20"/>
    </row>
    <row r="201" spans="4:22" ht="21.75" customHeight="1" x14ac:dyDescent="0.25">
      <c r="D201" s="17"/>
      <c r="H201" s="57"/>
      <c r="I201" s="14"/>
      <c r="J201" s="45"/>
      <c r="K201" s="84"/>
      <c r="L201" s="52"/>
      <c r="M201" s="2"/>
    </row>
    <row r="202" spans="4:22" ht="21.75" customHeight="1" x14ac:dyDescent="0.25">
      <c r="D202" s="17"/>
      <c r="F202" s="75" t="s">
        <v>99</v>
      </c>
      <c r="G202" s="13" t="s">
        <v>13</v>
      </c>
      <c r="H202" s="52"/>
      <c r="I202" s="81">
        <f>M191</f>
        <v>425569.93</v>
      </c>
      <c r="J202">
        <f>SUM(N1:N138)</f>
        <v>103</v>
      </c>
      <c r="K202" s="70">
        <v>-4190</v>
      </c>
      <c r="L202"/>
      <c r="M202" s="2"/>
      <c r="N202" s="88"/>
    </row>
    <row r="203" spans="4:22" ht="21.75" customHeight="1" x14ac:dyDescent="0.25">
      <c r="D203" s="17"/>
      <c r="E203" s="11"/>
      <c r="F203" s="77" t="s">
        <v>103</v>
      </c>
      <c r="G203" s="13" t="s">
        <v>86</v>
      </c>
      <c r="H203" s="64" t="s">
        <v>75</v>
      </c>
      <c r="I203" s="66">
        <f>I202/N191</f>
        <v>2895.0335374149658</v>
      </c>
      <c r="J203"/>
      <c r="K203" s="70"/>
      <c r="L203"/>
      <c r="M203" s="70"/>
      <c r="N203" s="88"/>
    </row>
    <row r="204" spans="4:22" ht="21.75" customHeight="1" x14ac:dyDescent="0.25">
      <c r="D204" s="17"/>
      <c r="E204" s="63"/>
      <c r="F204" s="45"/>
      <c r="G204" s="13" t="s">
        <v>87</v>
      </c>
      <c r="H204" s="64" t="s">
        <v>76</v>
      </c>
      <c r="I204" s="81">
        <f>I203*12</f>
        <v>34740.402448979592</v>
      </c>
      <c r="J204"/>
      <c r="K204" s="70">
        <v>4190.5</v>
      </c>
      <c r="L204"/>
      <c r="M204" s="70"/>
      <c r="N204" s="88"/>
    </row>
    <row r="205" spans="4:22" ht="21.75" customHeight="1" x14ac:dyDescent="0.25">
      <c r="D205" s="17"/>
      <c r="F205" s="78" t="s">
        <v>104</v>
      </c>
      <c r="G205" s="13" t="s">
        <v>88</v>
      </c>
      <c r="H205" s="64" t="s">
        <v>78</v>
      </c>
      <c r="I205" s="65">
        <f>E165</f>
        <v>50000</v>
      </c>
      <c r="J205"/>
      <c r="K205" s="70"/>
      <c r="L205"/>
      <c r="M205" s="70"/>
      <c r="N205" s="88"/>
    </row>
    <row r="206" spans="4:22" ht="21.75" customHeight="1" x14ac:dyDescent="0.25">
      <c r="D206" s="17"/>
      <c r="F206" s="45"/>
      <c r="G206" s="13" t="s">
        <v>89</v>
      </c>
      <c r="H206" s="64" t="s">
        <v>77</v>
      </c>
      <c r="I206" s="80">
        <f>I204/E165</f>
        <v>0.69480804897959181</v>
      </c>
      <c r="J206"/>
      <c r="K206" s="70"/>
      <c r="L206" s="68"/>
      <c r="M206" s="70"/>
    </row>
    <row r="207" spans="4:22" ht="21.75" customHeight="1" x14ac:dyDescent="0.25">
      <c r="D207" s="17"/>
      <c r="F207" s="45"/>
      <c r="G207" s="13" t="s">
        <v>109</v>
      </c>
      <c r="H207" s="52"/>
      <c r="I207" s="73">
        <f>I195</f>
        <v>39970.409999999996</v>
      </c>
      <c r="J207"/>
      <c r="K207" s="70"/>
      <c r="L207" s="68"/>
      <c r="M207" s="70"/>
    </row>
    <row r="208" spans="4:22" ht="21.75" customHeight="1" x14ac:dyDescent="0.3">
      <c r="D208" s="17"/>
      <c r="F208" s="94">
        <f>I208/E180</f>
        <v>1.1421250000000001</v>
      </c>
      <c r="G208" s="10" t="s">
        <v>111</v>
      </c>
      <c r="H208" s="59"/>
      <c r="I208" s="92">
        <v>57106.25</v>
      </c>
      <c r="J208"/>
      <c r="K208" s="70"/>
      <c r="L208" s="68"/>
      <c r="M208" s="2"/>
      <c r="O208" s="19"/>
    </row>
    <row r="209" spans="4:13" ht="21.75" customHeight="1" x14ac:dyDescent="0.25">
      <c r="D209" s="17"/>
      <c r="E209" s="10"/>
      <c r="F209" s="94">
        <f>I209/E180</f>
        <v>0.22725000000000001</v>
      </c>
      <c r="G209" s="10" t="s">
        <v>112</v>
      </c>
      <c r="H209" s="59"/>
      <c r="I209" s="92">
        <v>11362.5</v>
      </c>
      <c r="J209"/>
      <c r="K209" s="70"/>
      <c r="L209" s="68"/>
      <c r="M209" s="2"/>
    </row>
    <row r="210" spans="4:13" ht="21.75" customHeight="1" x14ac:dyDescent="0.25">
      <c r="D210" s="17"/>
      <c r="E210" s="10"/>
      <c r="F210" s="94"/>
      <c r="G210" s="10"/>
      <c r="H210" s="59"/>
      <c r="I210" s="2"/>
      <c r="J210"/>
      <c r="K210" s="70"/>
      <c r="L210" s="68"/>
      <c r="M210" s="2"/>
    </row>
    <row r="211" spans="4:13" ht="21.75" customHeight="1" x14ac:dyDescent="0.25">
      <c r="D211" s="17"/>
      <c r="E211" s="10"/>
      <c r="F211" s="10"/>
      <c r="G211" s="10"/>
      <c r="H211" s="59"/>
      <c r="I211" s="2"/>
      <c r="J211"/>
      <c r="K211" s="70"/>
      <c r="L211" s="68"/>
      <c r="M211" s="2"/>
    </row>
    <row r="212" spans="4:13" ht="21.75" customHeight="1" x14ac:dyDescent="0.25">
      <c r="D212" s="17"/>
      <c r="E212" s="10"/>
      <c r="F212" s="10"/>
      <c r="G212" s="10"/>
      <c r="H212" s="59"/>
      <c r="I212" s="68" t="s">
        <v>107</v>
      </c>
      <c r="J212" s="69"/>
      <c r="K212" s="85">
        <f>SUM(K202:K211)</f>
        <v>0.5</v>
      </c>
      <c r="L212" s="67"/>
      <c r="M212" s="2"/>
    </row>
    <row r="213" spans="4:13" ht="21.75" customHeight="1" x14ac:dyDescent="0.25">
      <c r="D213" s="17"/>
      <c r="E213" s="10"/>
      <c r="F213" s="10"/>
      <c r="G213" s="10"/>
      <c r="H213" s="59"/>
      <c r="I213" s="68" t="s">
        <v>108</v>
      </c>
      <c r="J213" s="69"/>
      <c r="K213" s="85">
        <f>K212*50</f>
        <v>25</v>
      </c>
      <c r="L213" s="67"/>
      <c r="M213" s="2"/>
    </row>
    <row r="214" spans="4:13" ht="21.75" customHeight="1" x14ac:dyDescent="0.25">
      <c r="D214" s="17"/>
      <c r="E214" s="10"/>
      <c r="F214" s="10"/>
      <c r="G214" s="10"/>
      <c r="H214" s="59"/>
      <c r="I214" s="68" t="s">
        <v>49</v>
      </c>
      <c r="J214" s="69"/>
      <c r="K214" s="85">
        <v>0</v>
      </c>
      <c r="L214" s="67"/>
      <c r="M214" s="2"/>
    </row>
    <row r="215" spans="4:13" ht="21.75" customHeight="1" x14ac:dyDescent="0.25">
      <c r="D215" s="17"/>
      <c r="F215" s="10"/>
      <c r="G215" s="10"/>
      <c r="H215" s="59"/>
      <c r="I215" s="68" t="s">
        <v>102</v>
      </c>
      <c r="J215" s="69"/>
      <c r="K215" s="84">
        <f>SUM(K212:K214)</f>
        <v>25.5</v>
      </c>
      <c r="L215" s="67"/>
      <c r="M215" s="2"/>
    </row>
    <row r="216" spans="4:13" ht="21.75" customHeight="1" x14ac:dyDescent="0.25">
      <c r="D216" s="17"/>
      <c r="H216" s="57"/>
      <c r="I216" s="10"/>
      <c r="J216" s="69"/>
      <c r="K216" s="85"/>
      <c r="L216" s="67"/>
      <c r="M216" s="2"/>
    </row>
    <row r="217" spans="4:13" ht="21.75" customHeight="1" x14ac:dyDescent="0.25">
      <c r="D217" s="17"/>
      <c r="G217" s="10"/>
      <c r="H217" s="57"/>
      <c r="I217" s="10"/>
      <c r="J217" s="69"/>
      <c r="K217" s="10"/>
      <c r="L217" s="67"/>
      <c r="M217" s="2"/>
    </row>
    <row r="218" spans="4:13" ht="21.75" customHeight="1" x14ac:dyDescent="0.25">
      <c r="D218" s="17"/>
      <c r="H218" s="57"/>
      <c r="I218" s="10"/>
      <c r="J218" s="69"/>
      <c r="K218" s="10"/>
      <c r="L218" s="67"/>
      <c r="M218" s="2"/>
    </row>
    <row r="219" spans="4:13" ht="21.75" customHeight="1" x14ac:dyDescent="0.25">
      <c r="D219" s="17"/>
      <c r="H219" s="57"/>
      <c r="I219" s="10"/>
      <c r="J219" s="69"/>
      <c r="K219" s="10"/>
      <c r="L219" s="67"/>
      <c r="M219" s="2"/>
    </row>
    <row r="220" spans="4:13" ht="21.75" customHeight="1" x14ac:dyDescent="0.25">
      <c r="D220" s="17"/>
      <c r="E220" s="5"/>
      <c r="H220" s="57"/>
      <c r="I220" s="10"/>
      <c r="J220" s="69"/>
      <c r="K220" s="10"/>
      <c r="L220" s="67"/>
      <c r="M220" s="2"/>
    </row>
    <row r="221" spans="4:13" ht="21.75" customHeight="1" x14ac:dyDescent="0.25">
      <c r="D221" s="17"/>
      <c r="H221" s="57"/>
      <c r="I221" s="11"/>
      <c r="J221" s="45"/>
      <c r="L221" s="67"/>
      <c r="M221" s="2"/>
    </row>
    <row r="222" spans="4:13" ht="21.75" customHeight="1" x14ac:dyDescent="0.25">
      <c r="D222" s="17"/>
      <c r="H222" s="57"/>
      <c r="I222" s="11"/>
      <c r="J222" s="45"/>
      <c r="K222" s="68"/>
      <c r="L222" s="67"/>
      <c r="M222" s="2"/>
    </row>
    <row r="223" spans="4:13" ht="21.75" customHeight="1" x14ac:dyDescent="0.25">
      <c r="D223" s="17"/>
      <c r="H223" s="57"/>
      <c r="I223" s="11"/>
      <c r="J223" s="45"/>
      <c r="K223" s="13"/>
      <c r="L223" s="52"/>
      <c r="M223" s="2"/>
    </row>
    <row r="224" spans="4:13" ht="21.75" customHeight="1" x14ac:dyDescent="0.25">
      <c r="D224" s="17"/>
      <c r="H224" s="57"/>
      <c r="I224" s="11"/>
      <c r="J224" s="45"/>
      <c r="K224" s="13"/>
      <c r="L224" s="52"/>
      <c r="M224" s="2"/>
    </row>
    <row r="225" spans="4:13" ht="21.75" customHeight="1" x14ac:dyDescent="0.25">
      <c r="D225" s="17"/>
      <c r="H225" s="57"/>
      <c r="I225" s="11"/>
      <c r="J225" s="45"/>
      <c r="K225" s="13"/>
      <c r="L225" s="52"/>
      <c r="M225" s="2"/>
    </row>
    <row r="226" spans="4:13" ht="21.75" customHeight="1" x14ac:dyDescent="0.25">
      <c r="D226" s="17"/>
      <c r="H226" s="57"/>
      <c r="I226" s="11"/>
      <c r="J226" s="45"/>
      <c r="K226" s="13"/>
      <c r="L226" s="67"/>
      <c r="M226" s="2"/>
    </row>
    <row r="227" spans="4:13" ht="21.75" customHeight="1" x14ac:dyDescent="0.25">
      <c r="D227" s="17"/>
      <c r="H227" s="57"/>
      <c r="I227" s="11"/>
      <c r="J227" s="45"/>
      <c r="K227" s="13"/>
      <c r="L227" s="52"/>
      <c r="M227" s="2"/>
    </row>
    <row r="228" spans="4:13" ht="21.75" customHeight="1" x14ac:dyDescent="0.25">
      <c r="D228" s="17"/>
      <c r="H228" s="57"/>
      <c r="I228" s="11"/>
      <c r="J228" s="45"/>
      <c r="K228" s="13"/>
      <c r="L228" s="52"/>
      <c r="M228" s="2"/>
    </row>
    <row r="229" spans="4:13" ht="21.75" customHeight="1" x14ac:dyDescent="0.25">
      <c r="D229" s="17"/>
      <c r="H229" s="57"/>
      <c r="I229" s="14"/>
      <c r="J229" s="45"/>
      <c r="K229" s="13"/>
      <c r="L229" s="52"/>
      <c r="M229" s="2"/>
    </row>
    <row r="230" spans="4:13" ht="21.75" customHeight="1" x14ac:dyDescent="0.25">
      <c r="D230" s="17"/>
      <c r="H230" s="57"/>
      <c r="I230" s="14"/>
      <c r="J230" s="45"/>
      <c r="K230" s="13"/>
      <c r="L230" s="67"/>
      <c r="M230" s="2"/>
    </row>
    <row r="231" spans="4:13" ht="21.75" customHeight="1" x14ac:dyDescent="0.25">
      <c r="D231" s="17"/>
      <c r="H231" s="57"/>
      <c r="I231" s="14"/>
      <c r="J231" s="45"/>
      <c r="K231" s="13"/>
      <c r="L231" s="52"/>
      <c r="M231" s="2"/>
    </row>
    <row r="232" spans="4:13" ht="21.75" customHeight="1" x14ac:dyDescent="0.25">
      <c r="D232" s="17"/>
      <c r="H232" s="57"/>
      <c r="I232" s="14"/>
      <c r="J232" s="45"/>
      <c r="K232" s="13"/>
      <c r="L232" s="52"/>
      <c r="M232" s="2"/>
    </row>
    <row r="233" spans="4:13" ht="21.75" customHeight="1" x14ac:dyDescent="0.25">
      <c r="D233" s="17"/>
      <c r="H233" s="57"/>
      <c r="I233" s="14"/>
      <c r="J233" s="45"/>
      <c r="K233" s="13"/>
      <c r="L233" s="67"/>
      <c r="M233" s="2"/>
    </row>
    <row r="234" spans="4:13" ht="21.75" customHeight="1" x14ac:dyDescent="0.25">
      <c r="D234" s="17"/>
      <c r="H234" s="57"/>
      <c r="I234" s="14"/>
      <c r="J234" s="45"/>
      <c r="K234" s="13"/>
      <c r="L234" s="67"/>
      <c r="M234" s="2"/>
    </row>
    <row r="235" spans="4:13" ht="21.75" hidden="1" customHeight="1" x14ac:dyDescent="0.25">
      <c r="D235" s="17"/>
      <c r="H235" s="57"/>
      <c r="I235" s="14"/>
      <c r="J235" s="45"/>
      <c r="K235" s="13"/>
      <c r="L235" s="52"/>
      <c r="M235" s="2"/>
    </row>
    <row r="236" spans="4:13" ht="21.75" hidden="1" customHeight="1" x14ac:dyDescent="0.25">
      <c r="D236" s="17"/>
      <c r="H236" s="57"/>
      <c r="I236" s="14"/>
      <c r="J236" s="45"/>
      <c r="K236" s="13"/>
      <c r="L236" s="67"/>
      <c r="M236" s="2"/>
    </row>
    <row r="237" spans="4:13" ht="21.75" hidden="1" customHeight="1" x14ac:dyDescent="0.25">
      <c r="D237" s="17"/>
      <c r="H237" s="57"/>
      <c r="I237" s="14"/>
      <c r="J237" s="45"/>
      <c r="K237" s="13"/>
      <c r="L237" s="52"/>
      <c r="M237" s="2"/>
    </row>
    <row r="238" spans="4:13" ht="21.75" hidden="1" customHeight="1" x14ac:dyDescent="0.25">
      <c r="D238" s="17"/>
      <c r="H238" s="57"/>
      <c r="I238" s="14"/>
      <c r="J238" s="45"/>
      <c r="K238" s="13"/>
      <c r="L238" s="52"/>
      <c r="M238" s="2"/>
    </row>
    <row r="239" spans="4:13" ht="21.75" hidden="1" customHeight="1" x14ac:dyDescent="0.25">
      <c r="D239" s="17"/>
      <c r="H239" s="57"/>
      <c r="I239" s="14"/>
      <c r="J239" s="45"/>
      <c r="K239" s="13"/>
      <c r="L239" s="52"/>
      <c r="M239" s="6"/>
    </row>
    <row r="240" spans="4:13" ht="21.75" hidden="1" customHeight="1" x14ac:dyDescent="0.25">
      <c r="D240" s="17"/>
      <c r="H240" s="57"/>
      <c r="I240" s="14"/>
      <c r="J240" s="45"/>
      <c r="K240" s="13"/>
      <c r="L240" s="52"/>
      <c r="M240" s="6"/>
    </row>
    <row r="241" spans="4:14" ht="21.75" hidden="1" customHeight="1" x14ac:dyDescent="0.25">
      <c r="D241" s="17"/>
      <c r="H241" s="57"/>
      <c r="I241" s="14"/>
      <c r="J241" s="45"/>
      <c r="K241" s="13"/>
      <c r="L241" s="52"/>
      <c r="M241" s="6"/>
    </row>
    <row r="242" spans="4:14" ht="21.75" hidden="1" customHeight="1" x14ac:dyDescent="0.25">
      <c r="D242" s="17"/>
      <c r="H242" s="57"/>
      <c r="I242" s="14"/>
      <c r="J242" s="45"/>
      <c r="K242" s="13"/>
      <c r="L242" s="52"/>
      <c r="M242" s="6"/>
    </row>
    <row r="243" spans="4:14" ht="21.75" hidden="1" customHeight="1" x14ac:dyDescent="0.25">
      <c r="D243" s="17"/>
      <c r="H243" s="57"/>
      <c r="I243" s="14"/>
      <c r="J243" s="45"/>
      <c r="K243" s="13"/>
      <c r="L243" s="52"/>
      <c r="M243" s="6"/>
    </row>
    <row r="244" spans="4:14" ht="21.75" hidden="1" customHeight="1" x14ac:dyDescent="0.25">
      <c r="D244" s="17"/>
      <c r="H244" s="57"/>
      <c r="I244" s="14"/>
      <c r="J244" s="45"/>
      <c r="K244" s="13"/>
      <c r="L244" s="13"/>
      <c r="M244" s="6"/>
    </row>
    <row r="245" spans="4:14" ht="21.75" hidden="1" customHeight="1" x14ac:dyDescent="0.25">
      <c r="D245" s="17"/>
      <c r="H245" s="57"/>
      <c r="I245" s="14"/>
      <c r="J245" s="45"/>
      <c r="K245" s="13"/>
      <c r="L245" s="13"/>
      <c r="M245" s="6"/>
    </row>
    <row r="246" spans="4:14" ht="21.75" hidden="1" customHeight="1" x14ac:dyDescent="0.25">
      <c r="D246" s="17"/>
      <c r="H246" s="57"/>
      <c r="I246" s="14"/>
      <c r="J246" s="45"/>
      <c r="K246" s="13"/>
      <c r="L246" s="13"/>
      <c r="M246" s="6"/>
    </row>
    <row r="247" spans="4:14" ht="21.75" hidden="1" customHeight="1" x14ac:dyDescent="0.25">
      <c r="D247" s="17"/>
      <c r="H247" s="57"/>
      <c r="I247" s="14"/>
      <c r="J247" s="45"/>
      <c r="K247" s="13"/>
      <c r="L247" s="13"/>
      <c r="M247" s="6"/>
    </row>
    <row r="248" spans="4:14" ht="21.75" hidden="1" customHeight="1" x14ac:dyDescent="0.25">
      <c r="D248" s="17"/>
      <c r="H248" s="57"/>
      <c r="I248" s="14"/>
      <c r="J248" s="45"/>
      <c r="K248" s="13"/>
      <c r="L248" s="13"/>
      <c r="M248" s="6"/>
    </row>
    <row r="249" spans="4:14" ht="21.75" hidden="1" customHeight="1" x14ac:dyDescent="0.25">
      <c r="D249" s="17"/>
      <c r="H249" s="57"/>
      <c r="I249" s="14"/>
      <c r="J249" s="45"/>
      <c r="K249" s="13"/>
      <c r="L249" s="13"/>
      <c r="M249" s="6"/>
    </row>
    <row r="250" spans="4:14" ht="21.75" hidden="1" customHeight="1" x14ac:dyDescent="0.25">
      <c r="D250" s="17"/>
      <c r="H250" s="57"/>
      <c r="I250" s="14"/>
      <c r="J250" s="45"/>
      <c r="K250" s="13"/>
      <c r="L250" s="13"/>
    </row>
    <row r="251" spans="4:14" ht="21.75" hidden="1" customHeight="1" x14ac:dyDescent="0.25">
      <c r="D251" s="17"/>
      <c r="H251" s="57"/>
      <c r="I251" s="14"/>
      <c r="J251" s="45"/>
      <c r="K251" s="13"/>
      <c r="L251" s="13"/>
      <c r="N251" s="89"/>
    </row>
    <row r="252" spans="4:14" ht="21.75" hidden="1" customHeight="1" x14ac:dyDescent="0.25">
      <c r="D252" s="17"/>
      <c r="H252" s="57"/>
      <c r="I252" s="14"/>
      <c r="J252" s="45"/>
      <c r="K252" s="14"/>
      <c r="L252" s="13"/>
    </row>
    <row r="253" spans="4:14" ht="21.75" hidden="1" customHeight="1" x14ac:dyDescent="0.25">
      <c r="D253" s="17"/>
      <c r="H253" s="57"/>
      <c r="I253" s="14"/>
      <c r="J253" s="45"/>
      <c r="K253" s="14"/>
      <c r="L253" s="13"/>
    </row>
    <row r="254" spans="4:14" ht="21.75" hidden="1" customHeight="1" x14ac:dyDescent="0.25">
      <c r="D254" s="17"/>
      <c r="H254" s="57"/>
      <c r="I254" s="14"/>
      <c r="J254" s="45"/>
      <c r="K254" s="14"/>
      <c r="L254" s="13"/>
    </row>
    <row r="255" spans="4:14" ht="21.75" hidden="1" customHeight="1" x14ac:dyDescent="0.25">
      <c r="D255" s="17"/>
      <c r="H255" s="57"/>
      <c r="I255" s="14"/>
      <c r="J255" s="45"/>
      <c r="K255" s="14"/>
    </row>
    <row r="256" spans="4:14" ht="21.75" hidden="1" customHeight="1" x14ac:dyDescent="0.25">
      <c r="D256" s="9"/>
      <c r="H256" s="57"/>
      <c r="I256" s="14"/>
      <c r="J256" s="45"/>
      <c r="K256" s="14"/>
      <c r="L256" s="10"/>
    </row>
    <row r="257" spans="4:21" ht="21.75" hidden="1" customHeight="1" x14ac:dyDescent="0.25">
      <c r="D257" s="10"/>
      <c r="H257" s="57"/>
      <c r="I257" s="14"/>
      <c r="J257" s="45"/>
      <c r="K257" s="14"/>
      <c r="L257" s="10" t="s">
        <v>30</v>
      </c>
      <c r="M257" s="7"/>
    </row>
    <row r="258" spans="4:21" ht="21.75" hidden="1" customHeight="1" x14ac:dyDescent="0.25">
      <c r="D258" s="15" t="s">
        <v>21</v>
      </c>
      <c r="H258" s="57"/>
      <c r="I258" s="14"/>
      <c r="J258" s="45"/>
      <c r="K258" s="14"/>
      <c r="L258" s="10" t="s">
        <v>31</v>
      </c>
    </row>
    <row r="259" spans="4:21" ht="21.75" hidden="1" customHeight="1" x14ac:dyDescent="0.25">
      <c r="D259" s="16" t="s">
        <v>25</v>
      </c>
      <c r="H259" s="58"/>
      <c r="I259" s="14"/>
      <c r="J259" s="45"/>
      <c r="K259" s="14"/>
      <c r="L259" s="10"/>
    </row>
    <row r="260" spans="4:21" ht="21.75" hidden="1" customHeight="1" x14ac:dyDescent="0.25">
      <c r="D260" s="16" t="s">
        <v>24</v>
      </c>
      <c r="H260" s="59"/>
      <c r="I260" s="14"/>
      <c r="J260" s="45"/>
      <c r="K260" s="14"/>
      <c r="L260" s="10"/>
    </row>
    <row r="261" spans="4:21" ht="21.75" hidden="1" customHeight="1" x14ac:dyDescent="0.25">
      <c r="D261" s="16"/>
      <c r="E261" s="9"/>
      <c r="F261" s="9"/>
      <c r="G261" s="9"/>
      <c r="H261" s="59" t="s">
        <v>26</v>
      </c>
      <c r="I261" s="14"/>
      <c r="J261" s="45"/>
      <c r="K261" s="14"/>
      <c r="L261" s="10"/>
    </row>
    <row r="262" spans="4:21" ht="21.75" hidden="1" customHeight="1" x14ac:dyDescent="0.25">
      <c r="D262" s="16"/>
      <c r="E262" s="10"/>
      <c r="F262" s="10"/>
      <c r="G262" s="10"/>
      <c r="H262" s="59"/>
      <c r="I262" s="14"/>
      <c r="J262" s="45"/>
      <c r="K262" s="14"/>
      <c r="L262" s="10"/>
      <c r="U262" s="2"/>
    </row>
    <row r="263" spans="4:21" ht="21.75" hidden="1" customHeight="1" x14ac:dyDescent="0.25">
      <c r="D263" s="16" t="s">
        <v>27</v>
      </c>
      <c r="E263" s="10" t="s">
        <v>20</v>
      </c>
      <c r="F263" s="10" t="s">
        <v>22</v>
      </c>
      <c r="G263" s="10" t="s">
        <v>23</v>
      </c>
      <c r="H263" s="59"/>
      <c r="I263" s="9"/>
      <c r="J263" s="46"/>
      <c r="K263" s="9"/>
      <c r="L263" s="10"/>
      <c r="U263" s="5"/>
    </row>
    <row r="264" spans="4:21" ht="21.75" hidden="1" customHeight="1" x14ac:dyDescent="0.25">
      <c r="D264" s="16"/>
      <c r="E264" s="12">
        <v>2471.65</v>
      </c>
      <c r="F264" s="10">
        <f>E264*50</f>
        <v>123582.5</v>
      </c>
      <c r="G264" s="10"/>
      <c r="H264" s="59">
        <f>G266*2</f>
        <v>3435</v>
      </c>
      <c r="I264" s="10"/>
      <c r="J264" s="47"/>
      <c r="K264" s="10"/>
      <c r="L264" s="10"/>
      <c r="P264" s="2"/>
      <c r="U264" s="2"/>
    </row>
    <row r="265" spans="4:21" ht="21.75" hidden="1" customHeight="1" x14ac:dyDescent="0.25">
      <c r="D265" s="16"/>
      <c r="E265" s="10">
        <v>2509</v>
      </c>
      <c r="F265" s="10">
        <f>E265*50</f>
        <v>125450</v>
      </c>
      <c r="G265" s="10"/>
      <c r="H265" s="59"/>
      <c r="I265" s="10"/>
      <c r="J265" s="47"/>
      <c r="K265" s="10"/>
      <c r="L265" s="10"/>
      <c r="P265" s="5"/>
      <c r="U265" s="2"/>
    </row>
    <row r="266" spans="4:21" ht="21.75" hidden="1" customHeight="1" x14ac:dyDescent="0.25">
      <c r="D266" s="16" t="s">
        <v>27</v>
      </c>
      <c r="E266" s="10"/>
      <c r="F266" s="10">
        <f>F265-F264</f>
        <v>1867.5</v>
      </c>
      <c r="G266" s="10">
        <f>F266-150</f>
        <v>1717.5</v>
      </c>
      <c r="H266" s="59"/>
      <c r="I266" s="10"/>
      <c r="J266" s="47"/>
      <c r="K266" s="10"/>
      <c r="L266" s="10"/>
      <c r="P266" s="2"/>
      <c r="U266" s="2"/>
    </row>
    <row r="267" spans="4:21" ht="21.75" hidden="1" customHeight="1" x14ac:dyDescent="0.25">
      <c r="D267" s="16" t="s">
        <v>28</v>
      </c>
      <c r="E267" s="10"/>
      <c r="F267" s="10"/>
      <c r="G267" s="10"/>
      <c r="H267" s="59">
        <f>G269*2</f>
        <v>6383</v>
      </c>
      <c r="I267" s="10"/>
      <c r="J267" s="47"/>
      <c r="K267" s="10"/>
      <c r="L267" s="10"/>
      <c r="P267" s="2"/>
      <c r="U267" s="2"/>
    </row>
    <row r="268" spans="4:21" ht="21.75" hidden="1" customHeight="1" x14ac:dyDescent="0.25">
      <c r="D268" s="16" t="s">
        <v>29</v>
      </c>
      <c r="E268" s="10">
        <v>2575.83</v>
      </c>
      <c r="F268" s="10">
        <f>E268*50</f>
        <v>128791.5</v>
      </c>
      <c r="G268" s="10"/>
      <c r="H268" s="59"/>
      <c r="I268" s="10"/>
      <c r="J268" s="47"/>
      <c r="K268" s="10"/>
      <c r="L268" s="10"/>
      <c r="P268" s="2"/>
      <c r="R268" s="2"/>
      <c r="U268" s="2"/>
    </row>
    <row r="269" spans="4:21" ht="21.75" hidden="1" customHeight="1" x14ac:dyDescent="0.25">
      <c r="D269" s="16"/>
      <c r="E269" s="10"/>
      <c r="F269" s="10">
        <f>F268-F265</f>
        <v>3341.5</v>
      </c>
      <c r="G269" s="10">
        <f>F269-150</f>
        <v>3191.5</v>
      </c>
      <c r="H269" s="59" t="s">
        <v>23</v>
      </c>
      <c r="I269" s="10"/>
      <c r="J269" s="47"/>
      <c r="K269" s="10"/>
      <c r="L269" s="10"/>
      <c r="P269" s="2"/>
      <c r="R269" s="5"/>
      <c r="U269" s="2"/>
    </row>
    <row r="270" spans="4:21" ht="21.75" hidden="1" customHeight="1" x14ac:dyDescent="0.25">
      <c r="D270" s="16" t="s">
        <v>34</v>
      </c>
      <c r="E270" s="10"/>
      <c r="F270" s="10"/>
      <c r="G270" s="10"/>
      <c r="H270" s="59"/>
      <c r="I270" s="10"/>
      <c r="J270" s="47"/>
      <c r="K270" s="10"/>
      <c r="L270" s="10"/>
      <c r="P270" s="2"/>
      <c r="R270" s="2"/>
      <c r="U270" s="2"/>
    </row>
    <row r="271" spans="4:21" ht="21.75" hidden="1" customHeight="1" x14ac:dyDescent="0.25">
      <c r="D271" s="25" t="s">
        <v>33</v>
      </c>
      <c r="E271" s="10">
        <v>2575</v>
      </c>
      <c r="F271" s="10"/>
      <c r="G271" s="10" t="s">
        <v>32</v>
      </c>
      <c r="H271" s="59">
        <f>F273-G273</f>
        <v>6057.9999999999927</v>
      </c>
      <c r="I271" s="10"/>
      <c r="J271" s="47"/>
      <c r="K271" s="10"/>
      <c r="L271" s="10"/>
      <c r="O271" s="8"/>
      <c r="P271" s="2"/>
      <c r="R271" s="2"/>
    </row>
    <row r="272" spans="4:21" ht="21.75" hidden="1" customHeight="1" x14ac:dyDescent="0.25">
      <c r="D272" s="25" t="s">
        <v>37</v>
      </c>
      <c r="E272" s="10"/>
      <c r="F272" s="10"/>
      <c r="G272" s="10"/>
      <c r="H272" s="59"/>
      <c r="I272" s="10"/>
      <c r="J272" s="47"/>
      <c r="K272" s="10"/>
      <c r="L272" s="10"/>
      <c r="P272" s="2"/>
      <c r="R272" s="2"/>
    </row>
    <row r="273" spans="4:22" ht="21.75" hidden="1" customHeight="1" x14ac:dyDescent="0.25">
      <c r="D273" s="25" t="s">
        <v>35</v>
      </c>
      <c r="E273" s="10">
        <v>2647.58</v>
      </c>
      <c r="F273" s="10">
        <f>((E273-E271)*50)*2</f>
        <v>7257.9999999999927</v>
      </c>
      <c r="G273" s="10">
        <f>24*50</f>
        <v>1200</v>
      </c>
      <c r="H273" s="59"/>
      <c r="I273" s="10"/>
      <c r="J273" s="47"/>
      <c r="K273" s="10"/>
      <c r="L273" s="10"/>
      <c r="R273" s="2"/>
    </row>
    <row r="274" spans="4:22" ht="21.75" hidden="1" customHeight="1" x14ac:dyDescent="0.25">
      <c r="D274" s="25" t="s">
        <v>36</v>
      </c>
      <c r="E274" s="10"/>
      <c r="F274" s="10"/>
      <c r="G274" s="10"/>
      <c r="H274" s="59"/>
      <c r="I274" s="10"/>
      <c r="J274" s="47"/>
      <c r="K274" s="10"/>
      <c r="L274" s="10"/>
      <c r="R274" s="2"/>
    </row>
    <row r="275" spans="4:22" ht="21.75" hidden="1" customHeight="1" x14ac:dyDescent="0.25">
      <c r="D275" s="25"/>
      <c r="E275" s="10"/>
      <c r="F275" s="10"/>
      <c r="G275" s="10"/>
      <c r="H275" s="59"/>
      <c r="I275" s="10"/>
      <c r="J275" s="47"/>
      <c r="K275" s="10"/>
      <c r="L275" s="10"/>
      <c r="R275" s="2"/>
    </row>
    <row r="276" spans="4:22" ht="21.75" hidden="1" customHeight="1" x14ac:dyDescent="0.25">
      <c r="D276" s="25" t="s">
        <v>39</v>
      </c>
      <c r="E276" s="10">
        <v>2647.58</v>
      </c>
      <c r="F276" s="10"/>
      <c r="G276" s="10"/>
      <c r="H276" s="59"/>
      <c r="I276" s="10"/>
      <c r="J276" s="47"/>
      <c r="K276" s="10"/>
      <c r="L276" s="10"/>
      <c r="R276" s="2"/>
    </row>
    <row r="277" spans="4:22" ht="21.75" hidden="1" customHeight="1" x14ac:dyDescent="0.25">
      <c r="D277" s="25" t="s">
        <v>41</v>
      </c>
      <c r="E277" s="10">
        <v>2647.58</v>
      </c>
      <c r="F277" s="10"/>
      <c r="G277" s="10">
        <v>-150</v>
      </c>
      <c r="H277" s="59"/>
      <c r="I277" s="10"/>
      <c r="J277" s="47"/>
      <c r="K277" s="10"/>
      <c r="L277" s="10"/>
      <c r="V277" s="2"/>
    </row>
    <row r="278" spans="4:22" x14ac:dyDescent="0.25">
      <c r="D278" s="25" t="s">
        <v>40</v>
      </c>
      <c r="E278" s="10"/>
      <c r="F278" s="10"/>
      <c r="G278" s="10">
        <v>-300</v>
      </c>
      <c r="H278" s="59"/>
      <c r="I278" s="10"/>
      <c r="J278" s="47"/>
      <c r="K278" s="10"/>
      <c r="L278" s="10"/>
    </row>
    <row r="279" spans="4:22" x14ac:dyDescent="0.25">
      <c r="D279" s="25"/>
      <c r="E279" s="10" t="s">
        <v>38</v>
      </c>
      <c r="F279" s="10"/>
      <c r="G279" s="10">
        <v>-1200</v>
      </c>
      <c r="H279" s="59"/>
      <c r="I279" s="10"/>
      <c r="J279" s="47"/>
      <c r="K279" s="10"/>
      <c r="L279" s="10"/>
      <c r="V279" s="2"/>
    </row>
    <row r="280" spans="4:22" x14ac:dyDescent="0.25">
      <c r="D280" s="25"/>
      <c r="E280" s="10"/>
      <c r="F280" s="10"/>
      <c r="G280" s="10"/>
      <c r="H280" s="59"/>
      <c r="I280" s="10"/>
      <c r="J280" s="47"/>
      <c r="K280" s="10"/>
      <c r="L280" s="10"/>
    </row>
    <row r="281" spans="4:22" x14ac:dyDescent="0.25">
      <c r="D281" s="25" t="s">
        <v>43</v>
      </c>
      <c r="E281" s="10">
        <v>2647.58</v>
      </c>
      <c r="F281" s="10"/>
      <c r="G281" s="10"/>
      <c r="H281" s="59"/>
      <c r="I281" s="10"/>
      <c r="J281" s="47"/>
      <c r="K281" s="10"/>
      <c r="L281" s="10"/>
      <c r="O281" s="26"/>
    </row>
    <row r="282" spans="4:22" x14ac:dyDescent="0.25">
      <c r="D282" s="25" t="s">
        <v>44</v>
      </c>
      <c r="E282" s="10"/>
      <c r="F282" s="10"/>
      <c r="G282" s="10"/>
      <c r="H282" s="59"/>
      <c r="I282" s="10"/>
      <c r="J282" s="47"/>
      <c r="K282" s="10"/>
    </row>
    <row r="283" spans="4:22" x14ac:dyDescent="0.25">
      <c r="D283" s="26" t="s">
        <v>45</v>
      </c>
      <c r="E283" s="10">
        <v>2672.61</v>
      </c>
      <c r="F283" s="10">
        <f>(E283-E281)*150</f>
        <v>3754.50000000003</v>
      </c>
      <c r="G283" s="10">
        <f>SUM(F283)</f>
        <v>3754.50000000003</v>
      </c>
      <c r="H283" s="59"/>
      <c r="I283" s="10"/>
      <c r="J283" s="47"/>
      <c r="K283" s="10"/>
      <c r="L283" s="8" t="s">
        <v>13</v>
      </c>
    </row>
    <row r="284" spans="4:22" x14ac:dyDescent="0.25">
      <c r="D284" s="26"/>
      <c r="E284" s="10"/>
      <c r="F284" s="10"/>
      <c r="G284" s="10">
        <f>SUM(G277:G283)</f>
        <v>2104.50000000003</v>
      </c>
      <c r="H284" s="59"/>
      <c r="I284" s="10"/>
      <c r="J284" s="47"/>
      <c r="K284" s="10"/>
      <c r="L284" s="8">
        <f>SUM(G287:H287)</f>
        <v>0</v>
      </c>
    </row>
    <row r="285" spans="4:22" x14ac:dyDescent="0.25">
      <c r="D285" s="26" t="s">
        <v>50</v>
      </c>
      <c r="E285" s="10"/>
      <c r="F285" s="10"/>
      <c r="G285" s="10"/>
      <c r="H285" s="59"/>
      <c r="I285" s="10"/>
      <c r="J285" s="47"/>
      <c r="K285" s="10"/>
    </row>
    <row r="286" spans="4:22" x14ac:dyDescent="0.25">
      <c r="D286" s="26"/>
      <c r="E286" s="10">
        <v>2823.81</v>
      </c>
      <c r="F286" s="10">
        <f>(E286-E283)*125</f>
        <v>18899.999999999978</v>
      </c>
      <c r="G286" s="10"/>
      <c r="I286" s="10"/>
      <c r="J286" s="47"/>
      <c r="K286" s="10"/>
      <c r="Q286" s="5"/>
    </row>
    <row r="287" spans="4:22" x14ac:dyDescent="0.25">
      <c r="D287" s="26" t="s">
        <v>51</v>
      </c>
      <c r="E287" s="10"/>
      <c r="F287" s="10">
        <f>((56.21*3)*4)*-3</f>
        <v>-2023.56</v>
      </c>
      <c r="G287" s="10"/>
      <c r="H287" s="53" t="s">
        <v>49</v>
      </c>
      <c r="I287" s="10"/>
      <c r="J287" s="47"/>
      <c r="K287" s="10"/>
    </row>
    <row r="288" spans="4:22" x14ac:dyDescent="0.25">
      <c r="D288" s="26" t="s">
        <v>51</v>
      </c>
      <c r="F288" s="10">
        <f>SUM(F286:F287)</f>
        <v>16876.439999999977</v>
      </c>
      <c r="H288" s="53">
        <f>-50*3</f>
        <v>-150</v>
      </c>
      <c r="I288" s="10"/>
      <c r="J288" s="47"/>
      <c r="K288" s="10"/>
    </row>
    <row r="289" spans="4:20" x14ac:dyDescent="0.25">
      <c r="D289" s="26" t="s">
        <v>51</v>
      </c>
      <c r="E289" s="8" t="s">
        <v>46</v>
      </c>
      <c r="F289" s="8" t="s">
        <v>47</v>
      </c>
      <c r="G289" s="8" t="s">
        <v>48</v>
      </c>
      <c r="I289" s="10"/>
      <c r="J289" s="47"/>
      <c r="K289" s="10"/>
      <c r="L289" s="8">
        <f>SUM(G292:H292)</f>
        <v>-150</v>
      </c>
      <c r="S289" s="2"/>
    </row>
    <row r="290" spans="4:20" x14ac:dyDescent="0.25">
      <c r="D290" s="26"/>
      <c r="E290" s="10">
        <v>2770</v>
      </c>
      <c r="F290" s="10">
        <f>(E290-E286)*3</f>
        <v>-161.42999999999984</v>
      </c>
      <c r="G290" s="8">
        <f>F290*50</f>
        <v>-8071.4999999999918</v>
      </c>
      <c r="H290" s="53">
        <v>-150</v>
      </c>
      <c r="L290" s="8">
        <f>SUM(L284:L289)</f>
        <v>-150</v>
      </c>
      <c r="S290" s="5"/>
    </row>
    <row r="291" spans="4:20" x14ac:dyDescent="0.25">
      <c r="D291" s="26" t="s">
        <v>52</v>
      </c>
      <c r="E291" s="10"/>
      <c r="H291" s="53">
        <v>-150</v>
      </c>
      <c r="S291" s="2"/>
    </row>
    <row r="292" spans="4:20" x14ac:dyDescent="0.25">
      <c r="D292" s="26"/>
      <c r="E292" s="10">
        <v>2741</v>
      </c>
      <c r="F292" s="8">
        <v>30</v>
      </c>
      <c r="H292" s="53">
        <v>-150</v>
      </c>
      <c r="Q292" s="29"/>
      <c r="S292" s="2"/>
      <c r="T292" s="2"/>
    </row>
    <row r="293" spans="4:20" x14ac:dyDescent="0.25">
      <c r="D293" s="26"/>
      <c r="E293" s="10">
        <v>2710</v>
      </c>
      <c r="F293" s="8">
        <v>30</v>
      </c>
      <c r="H293" s="53">
        <f>SUM(H290:H292)</f>
        <v>-450</v>
      </c>
      <c r="L293" s="8">
        <v>2650</v>
      </c>
      <c r="S293" s="2"/>
    </row>
    <row r="294" spans="4:20" x14ac:dyDescent="0.25">
      <c r="D294" s="27" t="s">
        <v>54</v>
      </c>
      <c r="E294" s="10">
        <v>2680</v>
      </c>
      <c r="F294" s="8">
        <v>30</v>
      </c>
      <c r="L294" s="8">
        <v>2650</v>
      </c>
      <c r="S294" s="2"/>
      <c r="T294" s="2"/>
    </row>
    <row r="295" spans="4:20" x14ac:dyDescent="0.25">
      <c r="D295" s="26" t="s">
        <v>56</v>
      </c>
      <c r="E295" s="10"/>
      <c r="F295" s="8">
        <f>SUM(F292:F294)</f>
        <v>90</v>
      </c>
      <c r="G295" s="8">
        <f>F295*50</f>
        <v>4500</v>
      </c>
      <c r="L295" s="8">
        <v>2650</v>
      </c>
      <c r="S295" s="2"/>
    </row>
    <row r="296" spans="4:20" x14ac:dyDescent="0.25">
      <c r="D296" s="26" t="s">
        <v>56</v>
      </c>
      <c r="E296" s="10">
        <v>2630</v>
      </c>
      <c r="H296" s="60" t="s">
        <v>55</v>
      </c>
      <c r="L296" s="8">
        <v>2650</v>
      </c>
      <c r="S296" s="2"/>
    </row>
    <row r="297" spans="4:20" x14ac:dyDescent="0.25">
      <c r="D297" s="26" t="s">
        <v>56</v>
      </c>
      <c r="E297" s="10"/>
      <c r="H297" s="53">
        <v>2670</v>
      </c>
      <c r="S297" s="2"/>
    </row>
    <row r="298" spans="4:20" x14ac:dyDescent="0.25">
      <c r="D298" s="26" t="s">
        <v>56</v>
      </c>
      <c r="E298" s="10"/>
      <c r="F298" s="8" t="s">
        <v>55</v>
      </c>
      <c r="G298" s="28" t="s">
        <v>55</v>
      </c>
      <c r="H298" s="53">
        <v>2670</v>
      </c>
    </row>
    <row r="299" spans="4:20" x14ac:dyDescent="0.25">
      <c r="D299" s="8" t="s">
        <v>50</v>
      </c>
      <c r="E299" s="10">
        <v>2690</v>
      </c>
      <c r="F299" s="8">
        <v>2710</v>
      </c>
      <c r="G299" s="8">
        <v>2690</v>
      </c>
      <c r="H299" s="53">
        <v>2670</v>
      </c>
    </row>
    <row r="300" spans="4:20" x14ac:dyDescent="0.25">
      <c r="D300" s="26"/>
      <c r="E300" s="10">
        <v>2670</v>
      </c>
      <c r="G300" s="8">
        <v>2690</v>
      </c>
      <c r="I300" s="28"/>
      <c r="J300" s="48"/>
      <c r="K300" s="28"/>
    </row>
    <row r="301" spans="4:20" x14ac:dyDescent="0.25">
      <c r="D301" s="8" t="s">
        <v>58</v>
      </c>
      <c r="E301" s="10">
        <v>2650</v>
      </c>
    </row>
    <row r="302" spans="4:20" x14ac:dyDescent="0.25">
      <c r="D302" s="8" t="s">
        <v>58</v>
      </c>
      <c r="E302" s="10">
        <v>2630</v>
      </c>
    </row>
    <row r="303" spans="4:20" x14ac:dyDescent="0.25">
      <c r="E303" s="10">
        <v>2610</v>
      </c>
    </row>
    <row r="304" spans="4:20" x14ac:dyDescent="0.25">
      <c r="E304" s="8">
        <v>2610</v>
      </c>
    </row>
    <row r="305" spans="4:7" x14ac:dyDescent="0.25">
      <c r="D305" s="8" t="s">
        <v>61</v>
      </c>
      <c r="F305" s="8" t="s">
        <v>55</v>
      </c>
    </row>
    <row r="306" spans="4:7" x14ac:dyDescent="0.25">
      <c r="E306" s="8">
        <v>2640</v>
      </c>
      <c r="F306" s="8">
        <v>2660</v>
      </c>
      <c r="G306" s="8">
        <f>15*50</f>
        <v>750</v>
      </c>
    </row>
    <row r="307" spans="4:7" x14ac:dyDescent="0.25">
      <c r="E307" s="8">
        <v>2640</v>
      </c>
      <c r="F307" s="8">
        <v>2660</v>
      </c>
    </row>
    <row r="309" spans="4:7" x14ac:dyDescent="0.25">
      <c r="F309" s="8" t="s">
        <v>57</v>
      </c>
      <c r="G309" s="8" t="s">
        <v>55</v>
      </c>
    </row>
    <row r="310" spans="4:7" x14ac:dyDescent="0.25">
      <c r="E310" s="8">
        <v>2635</v>
      </c>
      <c r="F310" s="8">
        <v>2647</v>
      </c>
      <c r="G310" s="8">
        <v>2655</v>
      </c>
    </row>
  </sheetData>
  <sortState xmlns:xlrd2="http://schemas.microsoft.com/office/spreadsheetml/2017/richdata2" ref="D194:D196">
    <sortCondition descending="1" ref="D194"/>
  </sortState>
  <mergeCells count="4">
    <mergeCell ref="Q2:Q3"/>
    <mergeCell ref="S2:S3"/>
    <mergeCell ref="T2:T3"/>
    <mergeCell ref="F2:F3"/>
  </mergeCells>
  <hyperlinks>
    <hyperlink ref="F202" r:id="rId1" xr:uid="{B0179C71-ED8A-42FC-BDA9-743FFB4C11CF}"/>
    <hyperlink ref="F203" r:id="rId2" xr:uid="{04ADF83F-D58A-40D1-A736-9CE8D79F983D}"/>
    <hyperlink ref="F205" r:id="rId3" xr:uid="{E739153B-8120-43FA-93F1-2B91EFC5DD24}"/>
  </hyperlinks>
  <pageMargins left="0.7" right="0.7" top="0.75" bottom="0.75" header="0.3" footer="0.3"/>
  <pageSetup orientation="portrait" horizontalDpi="4294967293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Knight</dc:creator>
  <cp:lastModifiedBy>Peter Knight</cp:lastModifiedBy>
  <dcterms:created xsi:type="dcterms:W3CDTF">2017-04-13T21:27:26Z</dcterms:created>
  <dcterms:modified xsi:type="dcterms:W3CDTF">2023-09-07T14:12:39Z</dcterms:modified>
</cp:coreProperties>
</file>