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 HYBRID UPDATES 230609\! 00 SPM-NC\"/>
    </mc:Choice>
  </mc:AlternateContent>
  <xr:revisionPtr revIDLastSave="0" documentId="13_ncr:1_{5A8D296E-67EF-4CF6-8430-C66D07767AEA}" xr6:coauthVersionLast="47" xr6:coauthVersionMax="47" xr10:uidLastSave="{00000000-0000-0000-0000-000000000000}"/>
  <bookViews>
    <workbookView xWindow="930" yWindow="0" windowWidth="14640" windowHeight="14820" xr2:uid="{00000000-000D-0000-FFFF-FFFF00000000}"/>
  </bookViews>
  <sheets>
    <sheet name="STATEMEN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5" i="1" l="1"/>
  <c r="N186" i="1"/>
  <c r="M186" i="1"/>
  <c r="I186" i="1"/>
  <c r="H186" i="1"/>
  <c r="G186" i="1"/>
  <c r="V149" i="1"/>
  <c r="U149" i="1"/>
  <c r="T149" i="1"/>
  <c r="Q149" i="1"/>
  <c r="S149" i="1" s="1"/>
  <c r="I185" i="1"/>
  <c r="V148" i="1"/>
  <c r="U148" i="1"/>
  <c r="T148" i="1"/>
  <c r="Q148" i="1"/>
  <c r="S148" i="1" s="1"/>
  <c r="I181" i="1"/>
  <c r="I182" i="1" s="1"/>
  <c r="I183" i="1" s="1"/>
  <c r="I184" i="1" s="1"/>
  <c r="Q147" i="1"/>
  <c r="S147" i="1" s="1"/>
  <c r="L183" i="1"/>
  <c r="U147" i="1" s="1"/>
  <c r="V147" i="1" l="1"/>
  <c r="T147" i="1"/>
  <c r="V146" i="1"/>
  <c r="U146" i="1"/>
  <c r="T146" i="1"/>
  <c r="Q146" i="1"/>
  <c r="S146" i="1" s="1"/>
  <c r="H182" i="1"/>
  <c r="Q145" i="1"/>
  <c r="S145" i="1" s="1"/>
  <c r="L181" i="1"/>
  <c r="V145" i="1" s="1"/>
  <c r="H181" i="1"/>
  <c r="H185" i="1" s="1"/>
  <c r="V144" i="1"/>
  <c r="U144" i="1"/>
  <c r="T144" i="1"/>
  <c r="Q144" i="1"/>
  <c r="S144" i="1" s="1"/>
  <c r="H180" i="1"/>
  <c r="H184" i="1" s="1"/>
  <c r="V143" i="1"/>
  <c r="U143" i="1"/>
  <c r="T143" i="1"/>
  <c r="Q143" i="1"/>
  <c r="S143" i="1" s="1"/>
  <c r="Q142" i="1"/>
  <c r="S142" i="1" s="1"/>
  <c r="L175" i="1"/>
  <c r="V142" i="1" s="1"/>
  <c r="Q141" i="1"/>
  <c r="S141" i="1" s="1"/>
  <c r="L174" i="1"/>
  <c r="T141" i="1" s="1"/>
  <c r="Q140" i="1"/>
  <c r="S140" i="1" s="1"/>
  <c r="L173" i="1"/>
  <c r="V140" i="1" s="1"/>
  <c r="Q139" i="1"/>
  <c r="S139" i="1" s="1"/>
  <c r="L172" i="1"/>
  <c r="V138" i="1"/>
  <c r="U138" i="1" s="1"/>
  <c r="Q138" i="1"/>
  <c r="S138" i="1" s="1"/>
  <c r="V137" i="1"/>
  <c r="T137" i="1" s="1"/>
  <c r="Q137" i="1"/>
  <c r="S137" i="1" s="1"/>
  <c r="V136" i="1"/>
  <c r="T136" i="1" s="1"/>
  <c r="Q136" i="1"/>
  <c r="S136" i="1" s="1"/>
  <c r="U139" i="1" l="1"/>
  <c r="T145" i="1"/>
  <c r="U145" i="1"/>
  <c r="T142" i="1"/>
  <c r="U142" i="1"/>
  <c r="U141" i="1"/>
  <c r="T140" i="1"/>
  <c r="V141" i="1"/>
  <c r="U140" i="1"/>
  <c r="V139" i="1"/>
  <c r="T139" i="1"/>
  <c r="V135" i="1"/>
  <c r="U135" i="1" s="1"/>
  <c r="Q135" i="1"/>
  <c r="S135" i="1" s="1"/>
  <c r="V134" i="1"/>
  <c r="T134" i="1" s="1"/>
  <c r="Q134" i="1"/>
  <c r="S134" i="1" s="1"/>
  <c r="H167" i="1"/>
  <c r="H171" i="1" s="1"/>
  <c r="H175" i="1" s="1"/>
  <c r="Q133" i="1"/>
  <c r="S133" i="1" s="1"/>
  <c r="H166" i="1"/>
  <c r="H170" i="1" s="1"/>
  <c r="H174" i="1" s="1"/>
  <c r="L166" i="1"/>
  <c r="O193" i="1"/>
  <c r="Q132" i="1"/>
  <c r="S132" i="1" s="1"/>
  <c r="L165" i="1"/>
  <c r="H165" i="1"/>
  <c r="H169" i="1" s="1"/>
  <c r="H173" i="1" s="1"/>
  <c r="V132" i="1" l="1"/>
  <c r="T132" i="1" s="1"/>
  <c r="L177" i="1"/>
  <c r="V133" i="1"/>
  <c r="T133" i="1" s="1"/>
  <c r="V131" i="1"/>
  <c r="T131" i="1" s="1"/>
  <c r="Q131" i="1"/>
  <c r="S131" i="1" s="1"/>
  <c r="V130" i="1"/>
  <c r="U130" i="1" s="1"/>
  <c r="S130" i="1"/>
  <c r="I160" i="1"/>
  <c r="I165" i="1" s="1"/>
  <c r="I166" i="1" s="1"/>
  <c r="I167" i="1" s="1"/>
  <c r="I168" i="1" s="1"/>
  <c r="I169" i="1" s="1"/>
  <c r="I170" i="1" s="1"/>
  <c r="I171" i="1" s="1"/>
  <c r="I172" i="1" s="1"/>
  <c r="I173" i="1" l="1"/>
  <c r="I174" i="1" s="1"/>
  <c r="I175" i="1" s="1"/>
  <c r="I179" i="1"/>
  <c r="P177" i="1"/>
  <c r="V129" i="1"/>
  <c r="U129" i="1" s="1"/>
  <c r="Q129" i="1"/>
  <c r="S129" i="1" s="1"/>
  <c r="V128" i="1"/>
  <c r="T128" i="1" s="1"/>
  <c r="Q128" i="1"/>
  <c r="S128" i="1" s="1"/>
  <c r="Q127" i="1"/>
  <c r="S127" i="1" s="1"/>
  <c r="L157" i="1"/>
  <c r="Q126" i="1"/>
  <c r="S126" i="1" s="1"/>
  <c r="V126" i="1"/>
  <c r="T126" i="1" s="1"/>
  <c r="S125" i="1"/>
  <c r="V125" i="1"/>
  <c r="T125" i="1" s="1"/>
  <c r="V124" i="1"/>
  <c r="T124" i="1" s="1"/>
  <c r="V123" i="1"/>
  <c r="U123" i="1" s="1"/>
  <c r="Q124" i="1"/>
  <c r="S124" i="1" s="1"/>
  <c r="Q123" i="1"/>
  <c r="S123" i="1" s="1"/>
  <c r="V122" i="1"/>
  <c r="T122" i="1" s="1"/>
  <c r="Q122" i="1"/>
  <c r="S122" i="1" s="1"/>
  <c r="V121" i="1"/>
  <c r="T121" i="1" s="1"/>
  <c r="Q121" i="1"/>
  <c r="S121" i="1" s="1"/>
  <c r="Q120" i="1"/>
  <c r="S120" i="1" s="1"/>
  <c r="I152" i="1"/>
  <c r="H152" i="1"/>
  <c r="I151" i="1"/>
  <c r="H151" i="1"/>
  <c r="L150" i="1"/>
  <c r="V119" i="1"/>
  <c r="T119" i="1" s="1"/>
  <c r="Q119" i="1"/>
  <c r="S119" i="1" s="1"/>
  <c r="I150" i="1"/>
  <c r="H150" i="1"/>
  <c r="V118" i="1"/>
  <c r="T118" i="1" s="1"/>
  <c r="Q118" i="1"/>
  <c r="S118" i="1" s="1"/>
  <c r="V127" i="1" l="1"/>
  <c r="T127" i="1" s="1"/>
  <c r="L188" i="1"/>
  <c r="L162" i="1"/>
  <c r="F203" i="1"/>
  <c r="V120" i="1"/>
  <c r="T120" i="1" s="1"/>
  <c r="H149" i="1"/>
  <c r="H153" i="1" s="1"/>
  <c r="H154" i="1" s="1"/>
  <c r="H155" i="1" s="1"/>
  <c r="H156" i="1" s="1"/>
  <c r="H157" i="1" s="1"/>
  <c r="H158" i="1" s="1"/>
  <c r="H159" i="1" s="1"/>
  <c r="H160" i="1" s="1"/>
  <c r="H164" i="1" s="1"/>
  <c r="H168" i="1" s="1"/>
  <c r="H172" i="1" s="1"/>
  <c r="V117" i="1"/>
  <c r="T117" i="1" s="1"/>
  <c r="Q117" i="1"/>
  <c r="S117" i="1" s="1"/>
  <c r="P188" i="1" l="1"/>
  <c r="H179" i="1"/>
  <c r="H183" i="1" s="1"/>
  <c r="P162" i="1"/>
  <c r="Q116" i="1"/>
  <c r="S116" i="1" s="1"/>
  <c r="V116" i="1"/>
  <c r="T116" i="1" s="1"/>
  <c r="Q115" i="1" l="1"/>
  <c r="S115" i="1" s="1"/>
  <c r="V115" i="1"/>
  <c r="T115" i="1" s="1"/>
  <c r="V114" i="1" l="1"/>
  <c r="T114" i="1" s="1"/>
  <c r="Q114" i="1"/>
  <c r="S114" i="1" s="1"/>
  <c r="V113" i="1" l="1"/>
  <c r="T113" i="1" s="1"/>
  <c r="Q113" i="1"/>
  <c r="S113" i="1" s="1"/>
  <c r="Q112" i="1"/>
  <c r="Q111" i="1"/>
  <c r="Q110" i="1"/>
  <c r="S112" i="1" l="1"/>
  <c r="V112" i="1"/>
  <c r="U112" i="1" s="1"/>
  <c r="V111" i="1" l="1"/>
  <c r="U111" i="1" s="1"/>
  <c r="S111" i="1"/>
  <c r="V110" i="1" l="1"/>
  <c r="T110" i="1" s="1"/>
  <c r="S110" i="1"/>
  <c r="V109" i="1" l="1"/>
  <c r="T109" i="1" s="1"/>
  <c r="Q109" i="1"/>
  <c r="S109" i="1" s="1"/>
  <c r="V107" i="1" l="1"/>
  <c r="U107" i="1" s="1"/>
  <c r="L135" i="1"/>
  <c r="V108" i="1" s="1"/>
  <c r="T108" i="1" l="1"/>
  <c r="F197" i="1"/>
  <c r="L147" i="1"/>
  <c r="P147" i="1" l="1"/>
  <c r="B142" i="1"/>
  <c r="K134" i="1"/>
  <c r="L130" i="1"/>
  <c r="V106" i="1" l="1"/>
  <c r="L129" i="1"/>
  <c r="V105" i="1" l="1"/>
  <c r="L128" i="1"/>
  <c r="V104" i="1" s="1"/>
  <c r="T104" i="1" l="1"/>
  <c r="T105" i="1"/>
  <c r="V102" i="1"/>
  <c r="U102" i="1" s="1"/>
  <c r="L127" i="1"/>
  <c r="V103" i="1" l="1"/>
  <c r="T103" i="1" s="1"/>
  <c r="E52" i="1"/>
  <c r="E51" i="1"/>
  <c r="E28" i="1"/>
  <c r="E24" i="1"/>
  <c r="E22" i="1"/>
  <c r="B12" i="1"/>
  <c r="B9" i="1"/>
  <c r="F201" i="1"/>
  <c r="H6" i="1"/>
  <c r="K112" i="1" l="1"/>
  <c r="L112" i="1" s="1"/>
  <c r="V91" i="1" s="1"/>
  <c r="U91" i="1" s="1"/>
  <c r="K111" i="1"/>
  <c r="L111" i="1" s="1"/>
  <c r="V90" i="1" s="1"/>
  <c r="T90" i="1" s="1"/>
  <c r="K108" i="1"/>
  <c r="L108" i="1" s="1"/>
  <c r="V87" i="1" s="1"/>
  <c r="U87" i="1" s="1"/>
  <c r="K107" i="1"/>
  <c r="L107" i="1" s="1"/>
  <c r="K100" i="1"/>
  <c r="L100" i="1" s="1"/>
  <c r="V82" i="1" s="1"/>
  <c r="T82" i="1" s="1"/>
  <c r="K98" i="1"/>
  <c r="L98" i="1" s="1"/>
  <c r="V80" i="1" s="1"/>
  <c r="T80" i="1" s="1"/>
  <c r="K96" i="1"/>
  <c r="L96" i="1" s="1"/>
  <c r="V78" i="1" s="1"/>
  <c r="U78" i="1" s="1"/>
  <c r="K90" i="1"/>
  <c r="L90" i="1" s="1"/>
  <c r="K83" i="1"/>
  <c r="L83" i="1" s="1"/>
  <c r="V68" i="1" s="1"/>
  <c r="U68" i="1" s="1"/>
  <c r="K82" i="1"/>
  <c r="L82" i="1" s="1"/>
  <c r="V67" i="1" s="1"/>
  <c r="T67" i="1" s="1"/>
  <c r="K78" i="1"/>
  <c r="L78" i="1" s="1"/>
  <c r="V63" i="1" s="1"/>
  <c r="T63" i="1" s="1"/>
  <c r="K76" i="1"/>
  <c r="L76" i="1" s="1"/>
  <c r="K67" i="1"/>
  <c r="L67" i="1" s="1"/>
  <c r="V55" i="1" s="1"/>
  <c r="T55" i="1" s="1"/>
  <c r="K66" i="1"/>
  <c r="L66" i="1" s="1"/>
  <c r="V54" i="1" s="1"/>
  <c r="U54" i="1" s="1"/>
  <c r="K63" i="1"/>
  <c r="L63" i="1" s="1"/>
  <c r="V51" i="1" s="1"/>
  <c r="U51" i="1" s="1"/>
  <c r="K62" i="1"/>
  <c r="L62" i="1" s="1"/>
  <c r="K50" i="1"/>
  <c r="L50" i="1" s="1"/>
  <c r="V41" i="1" s="1"/>
  <c r="T41" i="1" s="1"/>
  <c r="K46" i="1"/>
  <c r="L46" i="1" s="1"/>
  <c r="V37" i="1" s="1"/>
  <c r="U37" i="1" s="1"/>
  <c r="K44" i="1"/>
  <c r="L44" i="1" s="1"/>
  <c r="K39" i="1"/>
  <c r="L39" i="1" s="1"/>
  <c r="V33" i="1" s="1"/>
  <c r="U33" i="1" s="1"/>
  <c r="K36" i="1"/>
  <c r="L36" i="1" s="1"/>
  <c r="V30" i="1" s="1"/>
  <c r="U30" i="1" s="1"/>
  <c r="K34" i="1"/>
  <c r="L34" i="1" s="1"/>
  <c r="V28" i="1" s="1"/>
  <c r="U28" i="1" s="1"/>
  <c r="K31" i="1"/>
  <c r="L31" i="1" s="1"/>
  <c r="V25" i="1" s="1"/>
  <c r="U25" i="1" s="1"/>
  <c r="K29" i="1"/>
  <c r="L29" i="1" s="1"/>
  <c r="K25" i="1"/>
  <c r="L25" i="1" s="1"/>
  <c r="V22" i="1" s="1"/>
  <c r="U22" i="1" s="1"/>
  <c r="K23" i="1"/>
  <c r="L23" i="1" s="1"/>
  <c r="V20" i="1" s="1"/>
  <c r="T20" i="1" s="1"/>
  <c r="K22" i="1"/>
  <c r="L22" i="1" s="1"/>
  <c r="V19" i="1" s="1"/>
  <c r="U19" i="1" s="1"/>
  <c r="K21" i="1"/>
  <c r="L21" i="1" s="1"/>
  <c r="V18" i="1" s="1"/>
  <c r="U18" i="1" s="1"/>
  <c r="K18" i="1"/>
  <c r="L18" i="1" s="1"/>
  <c r="V15" i="1" s="1"/>
  <c r="U15" i="1" s="1"/>
  <c r="K17" i="1"/>
  <c r="L17" i="1" s="1"/>
  <c r="K6" i="1"/>
  <c r="L6" i="1" s="1"/>
  <c r="V6" i="1" s="1"/>
  <c r="K125" i="1"/>
  <c r="L125" i="1" s="1"/>
  <c r="V101" i="1" s="1"/>
  <c r="T101" i="1" s="1"/>
  <c r="K124" i="1"/>
  <c r="L124" i="1" s="1"/>
  <c r="V100" i="1" s="1"/>
  <c r="T100" i="1" s="1"/>
  <c r="K123" i="1"/>
  <c r="K122" i="1"/>
  <c r="L122" i="1" s="1"/>
  <c r="V98" i="1" s="1"/>
  <c r="K121" i="1"/>
  <c r="L121" i="1" s="1"/>
  <c r="V97" i="1" s="1"/>
  <c r="T97" i="1" s="1"/>
  <c r="K120" i="1"/>
  <c r="L120" i="1" s="1"/>
  <c r="V96" i="1" s="1"/>
  <c r="T96" i="1" s="1"/>
  <c r="K119" i="1"/>
  <c r="L119" i="1" s="1"/>
  <c r="K115" i="1"/>
  <c r="L115" i="1" s="1"/>
  <c r="V94" i="1" s="1"/>
  <c r="T94" i="1" s="1"/>
  <c r="K114" i="1"/>
  <c r="L114" i="1" s="1"/>
  <c r="V93" i="1" s="1"/>
  <c r="U93" i="1" s="1"/>
  <c r="K113" i="1"/>
  <c r="L113" i="1" s="1"/>
  <c r="V92" i="1" s="1"/>
  <c r="T92" i="1" s="1"/>
  <c r="K110" i="1"/>
  <c r="L110" i="1" s="1"/>
  <c r="V89" i="1" s="1"/>
  <c r="T89" i="1" s="1"/>
  <c r="K109" i="1"/>
  <c r="K106" i="1"/>
  <c r="L106" i="1" s="1"/>
  <c r="V85" i="1" s="1"/>
  <c r="U85" i="1" s="1"/>
  <c r="K105" i="1"/>
  <c r="L105" i="1" s="1"/>
  <c r="V84" i="1" s="1"/>
  <c r="U84" i="1" s="1"/>
  <c r="K104" i="1"/>
  <c r="L104" i="1" s="1"/>
  <c r="V83" i="1" s="1"/>
  <c r="T83" i="1" s="1"/>
  <c r="K99" i="1"/>
  <c r="L99" i="1" s="1"/>
  <c r="V81" i="1" s="1"/>
  <c r="T81" i="1" s="1"/>
  <c r="K97" i="1"/>
  <c r="L97" i="1" s="1"/>
  <c r="V79" i="1" s="1"/>
  <c r="T79" i="1" s="1"/>
  <c r="K95" i="1"/>
  <c r="L95" i="1" s="1"/>
  <c r="V77" i="1" s="1"/>
  <c r="T77" i="1" s="1"/>
  <c r="K94" i="1"/>
  <c r="L94" i="1" s="1"/>
  <c r="V76" i="1" s="1"/>
  <c r="T76" i="1" s="1"/>
  <c r="K93" i="1"/>
  <c r="L93" i="1" s="1"/>
  <c r="V75" i="1" s="1"/>
  <c r="T75" i="1" s="1"/>
  <c r="K92" i="1"/>
  <c r="L92" i="1" s="1"/>
  <c r="V74" i="1" s="1"/>
  <c r="U74" i="1" s="1"/>
  <c r="K91" i="1"/>
  <c r="L91" i="1" s="1"/>
  <c r="V73" i="1" s="1"/>
  <c r="T73" i="1" s="1"/>
  <c r="K89" i="1"/>
  <c r="L89" i="1" s="1"/>
  <c r="V71" i="1" s="1"/>
  <c r="T71" i="1" s="1"/>
  <c r="K85" i="1"/>
  <c r="L85" i="1" s="1"/>
  <c r="V70" i="1" s="1"/>
  <c r="U70" i="1" s="1"/>
  <c r="K84" i="1"/>
  <c r="L84" i="1" s="1"/>
  <c r="V69" i="1" s="1"/>
  <c r="T69" i="1" s="1"/>
  <c r="K81" i="1"/>
  <c r="L81" i="1" s="1"/>
  <c r="V66" i="1" s="1"/>
  <c r="T66" i="1" s="1"/>
  <c r="K80" i="1"/>
  <c r="L80" i="1" s="1"/>
  <c r="V65" i="1" s="1"/>
  <c r="T65" i="1" s="1"/>
  <c r="K79" i="1"/>
  <c r="L79" i="1" s="1"/>
  <c r="V64" i="1" s="1"/>
  <c r="U64" i="1" s="1"/>
  <c r="K77" i="1"/>
  <c r="L77" i="1" s="1"/>
  <c r="V62" i="1" s="1"/>
  <c r="U62" i="1" s="1"/>
  <c r="K75" i="1"/>
  <c r="L75" i="1" s="1"/>
  <c r="K74" i="1"/>
  <c r="L74" i="1" s="1"/>
  <c r="V59" i="1" s="1"/>
  <c r="U59" i="1" s="1"/>
  <c r="K70" i="1"/>
  <c r="L70" i="1" s="1"/>
  <c r="V58" i="1" s="1"/>
  <c r="U58" i="1" s="1"/>
  <c r="K69" i="1"/>
  <c r="L69" i="1" s="1"/>
  <c r="V57" i="1" s="1"/>
  <c r="U57" i="1" s="1"/>
  <c r="K68" i="1"/>
  <c r="L68" i="1" s="1"/>
  <c r="V56" i="1" s="1"/>
  <c r="T56" i="1" s="1"/>
  <c r="K65" i="1"/>
  <c r="L65" i="1" s="1"/>
  <c r="V53" i="1" s="1"/>
  <c r="T53" i="1" s="1"/>
  <c r="K64" i="1"/>
  <c r="L64" i="1" s="1"/>
  <c r="V52" i="1" s="1"/>
  <c r="T52" i="1" s="1"/>
  <c r="K61" i="1"/>
  <c r="L61" i="1" s="1"/>
  <c r="V49" i="1" s="1"/>
  <c r="T49" i="1" s="1"/>
  <c r="K60" i="1"/>
  <c r="L60" i="1" s="1"/>
  <c r="V48" i="1" s="1"/>
  <c r="T48" i="1" s="1"/>
  <c r="K59" i="1"/>
  <c r="L59" i="1" s="1"/>
  <c r="V47" i="1" s="1"/>
  <c r="T47" i="1" s="1"/>
  <c r="K55" i="1"/>
  <c r="L55" i="1" s="1"/>
  <c r="V46" i="1" s="1"/>
  <c r="T46" i="1" s="1"/>
  <c r="K54" i="1"/>
  <c r="L54" i="1" s="1"/>
  <c r="V45" i="1" s="1"/>
  <c r="T45" i="1" s="1"/>
  <c r="K53" i="1"/>
  <c r="L53" i="1" s="1"/>
  <c r="V44" i="1" s="1"/>
  <c r="U44" i="1" s="1"/>
  <c r="K52" i="1"/>
  <c r="L52" i="1" s="1"/>
  <c r="V43" i="1" s="1"/>
  <c r="T43" i="1" s="1"/>
  <c r="K51" i="1"/>
  <c r="L51" i="1" s="1"/>
  <c r="V42" i="1" s="1"/>
  <c r="T42" i="1" s="1"/>
  <c r="K49" i="1"/>
  <c r="L49" i="1" s="1"/>
  <c r="V40" i="1" s="1"/>
  <c r="T40" i="1" s="1"/>
  <c r="K48" i="1"/>
  <c r="L48" i="1" s="1"/>
  <c r="V39" i="1" s="1"/>
  <c r="T39" i="1" s="1"/>
  <c r="K47" i="1"/>
  <c r="L47" i="1" s="1"/>
  <c r="V38" i="1" s="1"/>
  <c r="T38" i="1" s="1"/>
  <c r="K45" i="1"/>
  <c r="L45" i="1" s="1"/>
  <c r="V36" i="1" s="1"/>
  <c r="T36" i="1" s="1"/>
  <c r="K40" i="1"/>
  <c r="L40" i="1" s="1"/>
  <c r="V34" i="1" s="1"/>
  <c r="T34" i="1" s="1"/>
  <c r="K38" i="1"/>
  <c r="L38" i="1" s="1"/>
  <c r="V32" i="1" s="1"/>
  <c r="T32" i="1" s="1"/>
  <c r="K37" i="1"/>
  <c r="L37" i="1" s="1"/>
  <c r="V31" i="1" s="1"/>
  <c r="T31" i="1" s="1"/>
  <c r="K35" i="1"/>
  <c r="L35" i="1" s="1"/>
  <c r="V29" i="1" s="1"/>
  <c r="T29" i="1" s="1"/>
  <c r="K33" i="1"/>
  <c r="L33" i="1" s="1"/>
  <c r="V27" i="1" s="1"/>
  <c r="T27" i="1" s="1"/>
  <c r="K32" i="1"/>
  <c r="L32" i="1" s="1"/>
  <c r="V26" i="1" s="1"/>
  <c r="T26" i="1" s="1"/>
  <c r="K30" i="1"/>
  <c r="L30" i="1" s="1"/>
  <c r="V24" i="1" s="1"/>
  <c r="T24" i="1" s="1"/>
  <c r="K24" i="1"/>
  <c r="L24" i="1" s="1"/>
  <c r="V21" i="1" s="1"/>
  <c r="T21" i="1" s="1"/>
  <c r="K20" i="1"/>
  <c r="L20" i="1" s="1"/>
  <c r="V17" i="1" s="1"/>
  <c r="T17" i="1" s="1"/>
  <c r="K19" i="1"/>
  <c r="K16" i="1"/>
  <c r="L16" i="1" s="1"/>
  <c r="V13" i="1" s="1"/>
  <c r="T13" i="1" s="1"/>
  <c r="K15" i="1"/>
  <c r="L15" i="1" s="1"/>
  <c r="V12" i="1" s="1"/>
  <c r="T12" i="1" s="1"/>
  <c r="K14" i="1"/>
  <c r="L14" i="1" s="1"/>
  <c r="V11" i="1" s="1"/>
  <c r="T11" i="1" s="1"/>
  <c r="K10" i="1"/>
  <c r="K9" i="1"/>
  <c r="K8" i="1"/>
  <c r="K7" i="1"/>
  <c r="L19" i="1" l="1"/>
  <c r="V16" i="1" s="1"/>
  <c r="T16" i="1" s="1"/>
  <c r="L109" i="1"/>
  <c r="V88" i="1" s="1"/>
  <c r="T88" i="1" s="1"/>
  <c r="L123" i="1"/>
  <c r="L132" i="1" s="1"/>
  <c r="T98" i="1"/>
  <c r="V95" i="1"/>
  <c r="T95" i="1" s="1"/>
  <c r="V23" i="1"/>
  <c r="T23" i="1" s="1"/>
  <c r="L42" i="1"/>
  <c r="V50" i="1"/>
  <c r="U50" i="1" s="1"/>
  <c r="L72" i="1"/>
  <c r="V72" i="1"/>
  <c r="T72" i="1" s="1"/>
  <c r="L102" i="1"/>
  <c r="V14" i="1"/>
  <c r="U14" i="1" s="1"/>
  <c r="B15" i="1"/>
  <c r="B16" i="1" s="1"/>
  <c r="V61" i="1"/>
  <c r="T61" i="1" s="1"/>
  <c r="L87" i="1"/>
  <c r="V86" i="1"/>
  <c r="U86" i="1" s="1"/>
  <c r="V35" i="1"/>
  <c r="U35" i="1" s="1"/>
  <c r="L57" i="1"/>
  <c r="V60" i="1"/>
  <c r="U60" i="1" s="1"/>
  <c r="L7" i="1"/>
  <c r="L8" i="1"/>
  <c r="V8" i="1" s="1"/>
  <c r="T8" i="1" s="1"/>
  <c r="L9" i="1"/>
  <c r="V9" i="1" s="1"/>
  <c r="T9" i="1" s="1"/>
  <c r="L10" i="1"/>
  <c r="V10" i="1" s="1"/>
  <c r="T10" i="1" s="1"/>
  <c r="R6" i="1"/>
  <c r="U6" i="1"/>
  <c r="N6" i="1"/>
  <c r="M6" i="1"/>
  <c r="L117" i="1" l="1"/>
  <c r="I119" i="1" s="1"/>
  <c r="L27" i="1"/>
  <c r="I29" i="1" s="1"/>
  <c r="I74" i="1"/>
  <c r="P72" i="1"/>
  <c r="I44" i="1"/>
  <c r="P42" i="1"/>
  <c r="I59" i="1"/>
  <c r="P57" i="1"/>
  <c r="I89" i="1"/>
  <c r="P87" i="1"/>
  <c r="I104" i="1"/>
  <c r="P102" i="1"/>
  <c r="I134" i="1"/>
  <c r="P132" i="1"/>
  <c r="V99" i="1"/>
  <c r="U99" i="1" s="1"/>
  <c r="L12" i="1"/>
  <c r="P12" i="1" s="1"/>
  <c r="V7" i="1"/>
  <c r="T7" i="1" s="1"/>
  <c r="K205" i="1"/>
  <c r="P117" i="1" l="1"/>
  <c r="P27" i="1"/>
  <c r="N12" i="1"/>
  <c r="I14" i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P192" i="1" l="1"/>
  <c r="F196" i="1" s="1"/>
  <c r="F198" i="1" s="1"/>
  <c r="F200" i="1" s="1"/>
  <c r="F202" i="1" s="1"/>
  <c r="R104" i="1"/>
  <c r="R105" i="1" s="1"/>
  <c r="H120" i="1"/>
  <c r="H121" i="1" s="1"/>
  <c r="R106" i="1" l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B8" i="1"/>
  <c r="B10" i="1" s="1"/>
  <c r="B11" i="1" s="1"/>
  <c r="B14" i="1" s="1"/>
  <c r="I120" i="1"/>
  <c r="H122" i="1"/>
  <c r="H123" i="1" s="1"/>
  <c r="H124" i="1" s="1"/>
  <c r="H125" i="1" s="1"/>
  <c r="H126" i="1" s="1"/>
  <c r="H127" i="1" s="1"/>
  <c r="H128" i="1" s="1"/>
  <c r="H129" i="1" s="1"/>
  <c r="H130" i="1" s="1"/>
  <c r="I121" i="1"/>
  <c r="I122" i="1" s="1"/>
  <c r="I123" i="1" s="1"/>
  <c r="I124" i="1" s="1"/>
  <c r="I125" i="1" s="1"/>
  <c r="I126" i="1" s="1"/>
  <c r="I127" i="1" s="1"/>
  <c r="I128" i="1" s="1"/>
  <c r="I129" i="1" s="1"/>
  <c r="I130" i="1" s="1"/>
  <c r="K132" i="1"/>
  <c r="K147" i="1" s="1"/>
  <c r="K177" i="1" s="1"/>
  <c r="R118" i="1" l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B13" i="1"/>
  <c r="G59" i="1"/>
  <c r="N59" i="1" s="1"/>
  <c r="G44" i="1"/>
  <c r="N44" i="1" s="1"/>
  <c r="G29" i="1"/>
  <c r="N29" i="1" s="1"/>
  <c r="G14" i="1"/>
  <c r="M14" i="1" l="1"/>
  <c r="G15" i="1" s="1"/>
  <c r="N14" i="1"/>
  <c r="G7" i="1"/>
  <c r="N42" i="1"/>
  <c r="M29" i="1"/>
  <c r="G30" i="1" s="1"/>
  <c r="N57" i="1"/>
  <c r="M44" i="1"/>
  <c r="G45" i="1" s="1"/>
  <c r="N72" i="1"/>
  <c r="M59" i="1"/>
  <c r="G60" i="1" s="1"/>
  <c r="N27" i="1"/>
  <c r="K12" i="1"/>
  <c r="K27" i="1"/>
  <c r="M45" i="1" l="1"/>
  <c r="G46" i="1" s="1"/>
  <c r="N45" i="1"/>
  <c r="M30" i="1"/>
  <c r="G31" i="1" s="1"/>
  <c r="N30" i="1"/>
  <c r="M7" i="1"/>
  <c r="G8" i="1" s="1"/>
  <c r="N7" i="1"/>
  <c r="M60" i="1"/>
  <c r="G61" i="1" s="1"/>
  <c r="N60" i="1"/>
  <c r="M15" i="1"/>
  <c r="G16" i="1" s="1"/>
  <c r="N16" i="1" s="1"/>
  <c r="N15" i="1"/>
  <c r="M8" i="1" l="1"/>
  <c r="G9" i="1" s="1"/>
  <c r="N8" i="1"/>
  <c r="M61" i="1"/>
  <c r="G62" i="1" s="1"/>
  <c r="N61" i="1"/>
  <c r="M31" i="1"/>
  <c r="G32" i="1" s="1"/>
  <c r="N31" i="1"/>
  <c r="M46" i="1"/>
  <c r="G47" i="1" s="1"/>
  <c r="N46" i="1"/>
  <c r="M16" i="1"/>
  <c r="G17" i="1" s="1"/>
  <c r="N17" i="1" s="1"/>
  <c r="M47" i="1" l="1"/>
  <c r="G48" i="1" s="1"/>
  <c r="N47" i="1"/>
  <c r="M32" i="1"/>
  <c r="G33" i="1" s="1"/>
  <c r="N32" i="1"/>
  <c r="M62" i="1"/>
  <c r="G63" i="1" s="1"/>
  <c r="N62" i="1"/>
  <c r="M9" i="1"/>
  <c r="G10" i="1" s="1"/>
  <c r="N9" i="1"/>
  <c r="M17" i="1"/>
  <c r="G18" i="1" s="1"/>
  <c r="N18" i="1" s="1"/>
  <c r="M10" i="1" l="1"/>
  <c r="N10" i="1"/>
  <c r="M63" i="1"/>
  <c r="G64" i="1" s="1"/>
  <c r="N63" i="1"/>
  <c r="M33" i="1"/>
  <c r="G34" i="1" s="1"/>
  <c r="N33" i="1"/>
  <c r="M48" i="1"/>
  <c r="G49" i="1" s="1"/>
  <c r="N48" i="1"/>
  <c r="M18" i="1"/>
  <c r="G19" i="1" s="1"/>
  <c r="N19" i="1" s="1"/>
  <c r="M49" i="1" l="1"/>
  <c r="G50" i="1" s="1"/>
  <c r="N49" i="1"/>
  <c r="M34" i="1"/>
  <c r="G35" i="1" s="1"/>
  <c r="N34" i="1"/>
  <c r="M64" i="1"/>
  <c r="G65" i="1" s="1"/>
  <c r="N64" i="1"/>
  <c r="M19" i="1"/>
  <c r="G20" i="1" s="1"/>
  <c r="N20" i="1" s="1"/>
  <c r="M65" i="1" l="1"/>
  <c r="G66" i="1" s="1"/>
  <c r="N65" i="1"/>
  <c r="M35" i="1"/>
  <c r="G36" i="1" s="1"/>
  <c r="N35" i="1"/>
  <c r="M50" i="1"/>
  <c r="G51" i="1" s="1"/>
  <c r="N50" i="1"/>
  <c r="M20" i="1"/>
  <c r="G21" i="1" s="1"/>
  <c r="N21" i="1" s="1"/>
  <c r="M51" i="1" l="1"/>
  <c r="G52" i="1" s="1"/>
  <c r="N51" i="1"/>
  <c r="M36" i="1"/>
  <c r="G37" i="1" s="1"/>
  <c r="N36" i="1"/>
  <c r="M66" i="1"/>
  <c r="G67" i="1" s="1"/>
  <c r="N66" i="1"/>
  <c r="M21" i="1"/>
  <c r="G22" i="1" s="1"/>
  <c r="N22" i="1" s="1"/>
  <c r="M67" i="1" l="1"/>
  <c r="G68" i="1" s="1"/>
  <c r="N67" i="1"/>
  <c r="M37" i="1"/>
  <c r="G38" i="1" s="1"/>
  <c r="N37" i="1"/>
  <c r="M52" i="1"/>
  <c r="G53" i="1" s="1"/>
  <c r="N52" i="1"/>
  <c r="M22" i="1"/>
  <c r="G23" i="1" s="1"/>
  <c r="N23" i="1" s="1"/>
  <c r="M53" i="1" l="1"/>
  <c r="G54" i="1" s="1"/>
  <c r="N53" i="1"/>
  <c r="M38" i="1"/>
  <c r="G39" i="1" s="1"/>
  <c r="N38" i="1"/>
  <c r="M68" i="1"/>
  <c r="G69" i="1" s="1"/>
  <c r="N68" i="1"/>
  <c r="M23" i="1"/>
  <c r="G24" i="1" s="1"/>
  <c r="N24" i="1" s="1"/>
  <c r="M69" i="1" l="1"/>
  <c r="G70" i="1" s="1"/>
  <c r="N69" i="1"/>
  <c r="M39" i="1"/>
  <c r="G40" i="1" s="1"/>
  <c r="N39" i="1"/>
  <c r="M54" i="1"/>
  <c r="G55" i="1" s="1"/>
  <c r="N54" i="1"/>
  <c r="M24" i="1"/>
  <c r="G25" i="1" s="1"/>
  <c r="M25" i="1" l="1"/>
  <c r="N25" i="1"/>
  <c r="M55" i="1"/>
  <c r="N55" i="1"/>
  <c r="M40" i="1"/>
  <c r="N40" i="1"/>
  <c r="M70" i="1"/>
  <c r="N70" i="1"/>
  <c r="G74" i="1"/>
  <c r="G89" i="1"/>
  <c r="N89" i="1" s="1"/>
  <c r="G104" i="1"/>
  <c r="M104" i="1" l="1"/>
  <c r="G105" i="1" s="1"/>
  <c r="N104" i="1"/>
  <c r="M74" i="1"/>
  <c r="G75" i="1" s="1"/>
  <c r="N74" i="1"/>
  <c r="N102" i="1"/>
  <c r="M89" i="1"/>
  <c r="G90" i="1" s="1"/>
  <c r="N87" i="1"/>
  <c r="G119" i="1"/>
  <c r="G134" i="1" s="1"/>
  <c r="F204" i="1" s="1"/>
  <c r="N117" i="1"/>
  <c r="G149" i="1" l="1"/>
  <c r="N147" i="1"/>
  <c r="N134" i="1"/>
  <c r="M134" i="1"/>
  <c r="N119" i="1"/>
  <c r="N132" i="1"/>
  <c r="M90" i="1"/>
  <c r="G91" i="1" s="1"/>
  <c r="N90" i="1"/>
  <c r="M75" i="1"/>
  <c r="G76" i="1" s="1"/>
  <c r="N75" i="1"/>
  <c r="M105" i="1"/>
  <c r="G106" i="1" s="1"/>
  <c r="N105" i="1"/>
  <c r="M119" i="1"/>
  <c r="G120" i="1" s="1"/>
  <c r="G164" i="1" l="1"/>
  <c r="G179" i="1" s="1"/>
  <c r="N188" i="1" s="1"/>
  <c r="N162" i="1"/>
  <c r="F199" i="1" s="1"/>
  <c r="M149" i="1"/>
  <c r="G150" i="1" s="1"/>
  <c r="N149" i="1"/>
  <c r="B143" i="1"/>
  <c r="G135" i="1"/>
  <c r="M135" i="1" s="1"/>
  <c r="N135" i="1"/>
  <c r="M120" i="1"/>
  <c r="G121" i="1" s="1"/>
  <c r="N120" i="1"/>
  <c r="M106" i="1"/>
  <c r="G107" i="1" s="1"/>
  <c r="N106" i="1"/>
  <c r="M76" i="1"/>
  <c r="G77" i="1" s="1"/>
  <c r="N76" i="1"/>
  <c r="M91" i="1"/>
  <c r="G92" i="1" s="1"/>
  <c r="N91" i="1"/>
  <c r="N164" i="1" l="1"/>
  <c r="M164" i="1"/>
  <c r="G165" i="1" s="1"/>
  <c r="N150" i="1"/>
  <c r="M150" i="1"/>
  <c r="G151" i="1" s="1"/>
  <c r="G136" i="1"/>
  <c r="M136" i="1" s="1"/>
  <c r="N136" i="1"/>
  <c r="M92" i="1"/>
  <c r="G93" i="1" s="1"/>
  <c r="N92" i="1"/>
  <c r="M107" i="1"/>
  <c r="G108" i="1" s="1"/>
  <c r="N107" i="1"/>
  <c r="M77" i="1"/>
  <c r="G78" i="1" s="1"/>
  <c r="N77" i="1"/>
  <c r="M121" i="1"/>
  <c r="G122" i="1" s="1"/>
  <c r="N121" i="1"/>
  <c r="M165" i="1" l="1"/>
  <c r="G166" i="1" s="1"/>
  <c r="N165" i="1"/>
  <c r="N151" i="1"/>
  <c r="M151" i="1"/>
  <c r="G152" i="1" s="1"/>
  <c r="N137" i="1"/>
  <c r="G137" i="1"/>
  <c r="M137" i="1" s="1"/>
  <c r="M122" i="1"/>
  <c r="G123" i="1" s="1"/>
  <c r="N122" i="1"/>
  <c r="M78" i="1"/>
  <c r="G79" i="1" s="1"/>
  <c r="N78" i="1"/>
  <c r="M108" i="1"/>
  <c r="G109" i="1" s="1"/>
  <c r="N108" i="1"/>
  <c r="M93" i="1"/>
  <c r="G94" i="1" s="1"/>
  <c r="N93" i="1"/>
  <c r="N166" i="1" l="1"/>
  <c r="M166" i="1"/>
  <c r="G167" i="1" s="1"/>
  <c r="N152" i="1"/>
  <c r="M152" i="1"/>
  <c r="G153" i="1" s="1"/>
  <c r="N177" i="1" s="1"/>
  <c r="G138" i="1"/>
  <c r="M138" i="1" s="1"/>
  <c r="N138" i="1"/>
  <c r="M94" i="1"/>
  <c r="G95" i="1" s="1"/>
  <c r="N94" i="1"/>
  <c r="M109" i="1"/>
  <c r="G110" i="1" s="1"/>
  <c r="N109" i="1"/>
  <c r="M79" i="1"/>
  <c r="G80" i="1" s="1"/>
  <c r="N79" i="1"/>
  <c r="M123" i="1"/>
  <c r="G124" i="1" s="1"/>
  <c r="N123" i="1"/>
  <c r="N167" i="1" l="1"/>
  <c r="M167" i="1"/>
  <c r="G168" i="1" s="1"/>
  <c r="N153" i="1"/>
  <c r="M153" i="1"/>
  <c r="G154" i="1" s="1"/>
  <c r="G139" i="1"/>
  <c r="M139" i="1" s="1"/>
  <c r="N139" i="1"/>
  <c r="M124" i="1"/>
  <c r="G125" i="1" s="1"/>
  <c r="N124" i="1"/>
  <c r="M80" i="1"/>
  <c r="G81" i="1" s="1"/>
  <c r="N80" i="1"/>
  <c r="M110" i="1"/>
  <c r="G111" i="1" s="1"/>
  <c r="N110" i="1"/>
  <c r="M95" i="1"/>
  <c r="G96" i="1" s="1"/>
  <c r="N95" i="1"/>
  <c r="N168" i="1" l="1"/>
  <c r="M168" i="1"/>
  <c r="G169" i="1" s="1"/>
  <c r="M154" i="1"/>
  <c r="G155" i="1" s="1"/>
  <c r="N154" i="1"/>
  <c r="N140" i="1"/>
  <c r="G140" i="1"/>
  <c r="M140" i="1" s="1"/>
  <c r="M111" i="1"/>
  <c r="G112" i="1" s="1"/>
  <c r="N111" i="1"/>
  <c r="M96" i="1"/>
  <c r="G97" i="1" s="1"/>
  <c r="N96" i="1"/>
  <c r="M81" i="1"/>
  <c r="G82" i="1" s="1"/>
  <c r="N81" i="1"/>
  <c r="M125" i="1"/>
  <c r="G126" i="1" s="1"/>
  <c r="N125" i="1"/>
  <c r="N169" i="1" l="1"/>
  <c r="M169" i="1"/>
  <c r="G170" i="1" s="1"/>
  <c r="N155" i="1"/>
  <c r="M155" i="1"/>
  <c r="G156" i="1" s="1"/>
  <c r="N141" i="1"/>
  <c r="G141" i="1"/>
  <c r="M141" i="1" s="1"/>
  <c r="N126" i="1"/>
  <c r="M126" i="1"/>
  <c r="G127" i="1" s="1"/>
  <c r="M82" i="1"/>
  <c r="G83" i="1" s="1"/>
  <c r="N82" i="1"/>
  <c r="M97" i="1"/>
  <c r="G98" i="1" s="1"/>
  <c r="N97" i="1"/>
  <c r="M112" i="1"/>
  <c r="G113" i="1" s="1"/>
  <c r="N112" i="1"/>
  <c r="N170" i="1" l="1"/>
  <c r="M170" i="1"/>
  <c r="G171" i="1" s="1"/>
  <c r="M156" i="1"/>
  <c r="G157" i="1" s="1"/>
  <c r="N156" i="1"/>
  <c r="G142" i="1"/>
  <c r="M142" i="1" s="1"/>
  <c r="N142" i="1"/>
  <c r="M127" i="1"/>
  <c r="G128" i="1" s="1"/>
  <c r="N127" i="1"/>
  <c r="M98" i="1"/>
  <c r="G99" i="1" s="1"/>
  <c r="N98" i="1"/>
  <c r="M113" i="1"/>
  <c r="G114" i="1" s="1"/>
  <c r="N113" i="1"/>
  <c r="M83" i="1"/>
  <c r="G84" i="1" s="1"/>
  <c r="N83" i="1"/>
  <c r="I92" i="1"/>
  <c r="I93" i="1" s="1"/>
  <c r="I94" i="1" s="1"/>
  <c r="I95" i="1" s="1"/>
  <c r="I96" i="1" s="1"/>
  <c r="I97" i="1" s="1"/>
  <c r="I98" i="1" s="1"/>
  <c r="I99" i="1" s="1"/>
  <c r="H92" i="1"/>
  <c r="H93" i="1" s="1"/>
  <c r="H94" i="1" s="1"/>
  <c r="H95" i="1" s="1"/>
  <c r="H96" i="1" s="1"/>
  <c r="H97" i="1" s="1"/>
  <c r="H98" i="1" s="1"/>
  <c r="H99" i="1" s="1"/>
  <c r="N171" i="1" l="1"/>
  <c r="M171" i="1"/>
  <c r="G172" i="1" s="1"/>
  <c r="N157" i="1"/>
  <c r="M157" i="1"/>
  <c r="G158" i="1" s="1"/>
  <c r="N143" i="1"/>
  <c r="G143" i="1"/>
  <c r="M143" i="1" s="1"/>
  <c r="M128" i="1"/>
  <c r="G129" i="1" s="1"/>
  <c r="N128" i="1"/>
  <c r="M84" i="1"/>
  <c r="G85" i="1" s="1"/>
  <c r="N84" i="1"/>
  <c r="M114" i="1"/>
  <c r="G115" i="1" s="1"/>
  <c r="N114" i="1"/>
  <c r="M99" i="1"/>
  <c r="G100" i="1" s="1"/>
  <c r="N99" i="1"/>
  <c r="H100" i="1"/>
  <c r="H106" i="1" s="1"/>
  <c r="H108" i="1" s="1"/>
  <c r="H111" i="1" s="1"/>
  <c r="H105" i="1"/>
  <c r="H107" i="1" s="1"/>
  <c r="I100" i="1"/>
  <c r="I106" i="1" s="1"/>
  <c r="I107" i="1" s="1"/>
  <c r="I108" i="1" s="1"/>
  <c r="I105" i="1"/>
  <c r="N172" i="1" l="1"/>
  <c r="M172" i="1"/>
  <c r="N158" i="1"/>
  <c r="M158" i="1"/>
  <c r="G159" i="1" s="1"/>
  <c r="G144" i="1"/>
  <c r="M144" i="1" s="1"/>
  <c r="N144" i="1"/>
  <c r="M129" i="1"/>
  <c r="G130" i="1" s="1"/>
  <c r="N129" i="1"/>
  <c r="M85" i="1"/>
  <c r="N85" i="1"/>
  <c r="M100" i="1"/>
  <c r="N100" i="1"/>
  <c r="M115" i="1"/>
  <c r="N115" i="1"/>
  <c r="I109" i="1"/>
  <c r="I111" i="1" s="1"/>
  <c r="I110" i="1"/>
  <c r="H109" i="1"/>
  <c r="H110" i="1"/>
  <c r="G173" i="1" l="1"/>
  <c r="N173" i="1"/>
  <c r="M173" i="1"/>
  <c r="G174" i="1" s="1"/>
  <c r="N159" i="1"/>
  <c r="M159" i="1"/>
  <c r="G160" i="1" s="1"/>
  <c r="N145" i="1"/>
  <c r="G145" i="1"/>
  <c r="M145" i="1" s="1"/>
  <c r="I149" i="1" s="1"/>
  <c r="M130" i="1"/>
  <c r="N130" i="1"/>
  <c r="N174" i="1" l="1"/>
  <c r="M174" i="1"/>
  <c r="G175" i="1" s="1"/>
  <c r="N160" i="1"/>
  <c r="M160" i="1"/>
  <c r="I164" i="1" s="1"/>
  <c r="M175" i="1" l="1"/>
  <c r="N175" i="1"/>
  <c r="N179" i="1" l="1"/>
  <c r="M179" i="1"/>
  <c r="G180" i="1" s="1"/>
  <c r="M180" i="1" l="1"/>
  <c r="G181" i="1" s="1"/>
  <c r="N180" i="1"/>
  <c r="N181" i="1" l="1"/>
  <c r="M181" i="1"/>
  <c r="G182" i="1" s="1"/>
  <c r="N182" i="1" l="1"/>
  <c r="M182" i="1"/>
  <c r="G183" i="1" s="1"/>
  <c r="N183" i="1" l="1"/>
  <c r="M183" i="1"/>
  <c r="G184" i="1" s="1"/>
  <c r="M184" i="1" l="1"/>
  <c r="G185" i="1" s="1"/>
  <c r="N184" i="1"/>
  <c r="N185" i="1" l="1"/>
  <c r="M185" i="1"/>
</calcChain>
</file>

<file path=xl/sharedStrings.xml><?xml version="1.0" encoding="utf-8"?>
<sst xmlns="http://schemas.openxmlformats.org/spreadsheetml/2006/main" count="286" uniqueCount="94">
  <si>
    <t>Period</t>
  </si>
  <si>
    <t>Beginning</t>
  </si>
  <si>
    <t>With-</t>
  </si>
  <si>
    <t>Net</t>
  </si>
  <si>
    <t>Ending</t>
  </si>
  <si>
    <t>Rate of</t>
  </si>
  <si>
    <t>Equity</t>
  </si>
  <si>
    <t>Additions</t>
  </si>
  <si>
    <t>drawals</t>
  </si>
  <si>
    <t>Performance</t>
  </si>
  <si>
    <t>Return</t>
  </si>
  <si>
    <t>-----------</t>
  </si>
  <si>
    <t>Months</t>
  </si>
  <si>
    <t>18-Jan</t>
  </si>
  <si>
    <t>18-Feb</t>
  </si>
  <si>
    <t>18-Mar</t>
  </si>
  <si>
    <t>18-Apr</t>
  </si>
  <si>
    <t>18-May</t>
  </si>
  <si>
    <t>18-Jun</t>
  </si>
  <si>
    <t>18-Jul</t>
  </si>
  <si>
    <t>18-Aug</t>
  </si>
  <si>
    <t>18-Sep</t>
  </si>
  <si>
    <t>18-Oct</t>
  </si>
  <si>
    <t>18-Nov</t>
  </si>
  <si>
    <t>Start</t>
  </si>
  <si>
    <t>% Draw</t>
  </si>
  <si>
    <t>18-Dec</t>
  </si>
  <si>
    <t>Avg Monthly</t>
  </si>
  <si>
    <t>Avg Yearly</t>
  </si>
  <si>
    <t>Avg %</t>
  </si>
  <si>
    <t>Start Balance</t>
  </si>
  <si>
    <t>19-Jan</t>
  </si>
  <si>
    <t>19-Feb</t>
  </si>
  <si>
    <t>19-Mar</t>
  </si>
  <si>
    <t>19-Apr</t>
  </si>
  <si>
    <t>19-May</t>
  </si>
  <si>
    <t>19-Jun</t>
  </si>
  <si>
    <t xml:space="preserve">19-Jul </t>
  </si>
  <si>
    <t>Losing Months</t>
  </si>
  <si>
    <t>Cumulative Net Profit Trading One Unit</t>
  </si>
  <si>
    <t>Profit</t>
  </si>
  <si>
    <t>Loss</t>
  </si>
  <si>
    <t>Jan</t>
  </si>
  <si>
    <t>feb</t>
  </si>
  <si>
    <t>mar</t>
  </si>
  <si>
    <t>apr</t>
  </si>
  <si>
    <t>may</t>
  </si>
  <si>
    <t>jun</t>
  </si>
  <si>
    <t>jul</t>
  </si>
  <si>
    <t>sep</t>
  </si>
  <si>
    <t>nov</t>
  </si>
  <si>
    <t>oct</t>
  </si>
  <si>
    <t>dec</t>
  </si>
  <si>
    <t xml:space="preserve">Ending </t>
  </si>
  <si>
    <t>Total</t>
  </si>
  <si>
    <t xml:space="preserve"> </t>
  </si>
  <si>
    <t>Winning</t>
  </si>
  <si>
    <t>aug</t>
  </si>
  <si>
    <t>pct</t>
  </si>
  <si>
    <t>Maximum Draw</t>
  </si>
  <si>
    <t>Annual/Draw</t>
  </si>
  <si>
    <t>19-Aug</t>
  </si>
  <si>
    <t>months</t>
  </si>
  <si>
    <t>monthly</t>
  </si>
  <si>
    <t>annual</t>
  </si>
  <si>
    <t>intial</t>
  </si>
  <si>
    <t>19-Sep</t>
  </si>
  <si>
    <t>19-Oct</t>
  </si>
  <si>
    <t>19-Nov</t>
  </si>
  <si>
    <t>19-Dec</t>
  </si>
  <si>
    <t>20-Jan</t>
  </si>
  <si>
    <t>20-Feb</t>
  </si>
  <si>
    <t>Webpage</t>
  </si>
  <si>
    <t>Daily</t>
  </si>
  <si>
    <t>start</t>
  </si>
  <si>
    <t>settle</t>
  </si>
  <si>
    <t>Points</t>
  </si>
  <si>
    <t>Value</t>
  </si>
  <si>
    <t>20-Mar</t>
  </si>
  <si>
    <t>This Year</t>
  </si>
  <si>
    <t>Percent</t>
  </si>
  <si>
    <t>20-Apr</t>
  </si>
  <si>
    <t>20-May</t>
  </si>
  <si>
    <t>20-Jun</t>
  </si>
  <si>
    <t>20-Jul</t>
  </si>
  <si>
    <t>20-Aug</t>
  </si>
  <si>
    <t>20-Sep</t>
  </si>
  <si>
    <t>20-Oct</t>
  </si>
  <si>
    <t>this year</t>
  </si>
  <si>
    <t>20-Nov</t>
  </si>
  <si>
    <t>Drawdown</t>
  </si>
  <si>
    <t>20-Dec</t>
  </si>
  <si>
    <t>`</t>
  </si>
  <si>
    <t>Last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</si>
</sst>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164" formatCode="&quot;$&quot;#,##0.00_);[Red]\(&quot;$&quot;#,##0.00\)"/>
    <numFmt numFmtId="165" formatCode="0.0000_);[Red]\(0.0000\)"/>
    <numFmt numFmtId="166" formatCode="&quot;$&quot;#,##0.00;[Red]&quot;$&quot;#,##0.00"/>
    <numFmt numFmtId="167" formatCode="&quot;$&quot;#,##0.00"/>
    <numFmt numFmtId="168" formatCode="&quot;$&quot;#,##0"/>
    <numFmt numFmtId="169" formatCode="yy\-mmm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0" applyNumberFormat="0" applyFill="0" applyBorder="0" applyAlignment="0" applyProtection="0"/>
  </cellStyleXfs>
  <cellXfs count="105">
    <xf numFmtId="0" fontId="0" fillId="0" borderId="0" xfId="0"/>
    <xf numFmtId="10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18" fillId="0" borderId="0" xfId="0" applyFont="1" applyAlignment="1">
      <alignment horizontal="left" indent="1"/>
    </xf>
    <xf numFmtId="165" fontId="18" fillId="0" borderId="0" xfId="0" applyNumberFormat="1" applyFont="1" applyAlignment="1">
      <alignment horizontal="left" indent="1"/>
    </xf>
    <xf numFmtId="2" fontId="18" fillId="0" borderId="0" xfId="0" applyNumberFormat="1" applyFont="1" applyAlignment="1">
      <alignment horizontal="left" indent="1"/>
    </xf>
    <xf numFmtId="2" fontId="18" fillId="0" borderId="0" xfId="0" applyNumberFormat="1" applyFont="1" applyAlignment="1">
      <alignment horizontal="left" wrapText="1" indent="1"/>
    </xf>
    <xf numFmtId="0" fontId="19" fillId="0" borderId="0" xfId="0" applyFont="1" applyAlignment="1">
      <alignment horizontal="left" indent="1"/>
    </xf>
    <xf numFmtId="164" fontId="19" fillId="0" borderId="0" xfId="0" applyNumberFormat="1" applyFont="1" applyAlignment="1">
      <alignment horizontal="left" indent="1"/>
    </xf>
    <xf numFmtId="2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left" indent="1"/>
    </xf>
    <xf numFmtId="164" fontId="21" fillId="0" borderId="0" xfId="0" applyNumberFormat="1" applyFont="1" applyAlignment="1">
      <alignment horizontal="left" indent="1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6" fontId="18" fillId="0" borderId="0" xfId="0" applyNumberFormat="1" applyFont="1" applyAlignment="1">
      <alignment horizontal="left" inden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23" fillId="0" borderId="0" xfId="0" applyFont="1" applyAlignment="1">
      <alignment horizontal="left" indent="1"/>
    </xf>
    <xf numFmtId="164" fontId="23" fillId="0" borderId="0" xfId="0" applyNumberFormat="1" applyFont="1" applyAlignment="1">
      <alignment horizontal="left" indent="1"/>
    </xf>
    <xf numFmtId="164" fontId="24" fillId="0" borderId="0" xfId="0" applyNumberFormat="1" applyFont="1" applyAlignment="1">
      <alignment horizontal="left" indent="1"/>
    </xf>
    <xf numFmtId="165" fontId="23" fillId="0" borderId="0" xfId="0" applyNumberFormat="1" applyFont="1" applyAlignment="1">
      <alignment horizontal="left" indent="1"/>
    </xf>
    <xf numFmtId="2" fontId="23" fillId="0" borderId="0" xfId="0" applyNumberFormat="1" applyFont="1" applyAlignment="1">
      <alignment horizontal="left" indent="1"/>
    </xf>
    <xf numFmtId="16" fontId="23" fillId="0" borderId="0" xfId="0" applyNumberFormat="1" applyFont="1" applyAlignment="1">
      <alignment horizontal="left" indent="1"/>
    </xf>
    <xf numFmtId="10" fontId="19" fillId="0" borderId="0" xfId="0" applyNumberFormat="1" applyFont="1" applyAlignment="1">
      <alignment horizontal="left" indent="1"/>
    </xf>
    <xf numFmtId="167" fontId="19" fillId="0" borderId="0" xfId="0" applyNumberFormat="1" applyFont="1" applyAlignment="1">
      <alignment horizontal="left" indent="1"/>
    </xf>
    <xf numFmtId="2" fontId="19" fillId="0" borderId="0" xfId="0" applyNumberFormat="1" applyFont="1" applyAlignment="1">
      <alignment horizontal="left" inden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2" fillId="0" borderId="0" xfId="0" applyNumberFormat="1" applyFont="1" applyAlignment="1">
      <alignment horizontal="left"/>
    </xf>
    <xf numFmtId="10" fontId="2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26" fillId="0" borderId="0" xfId="0" applyNumberFormat="1" applyFont="1" applyAlignment="1">
      <alignment horizontal="left" indent="1"/>
    </xf>
    <xf numFmtId="10" fontId="26" fillId="0" borderId="0" xfId="0" applyNumberFormat="1" applyFont="1"/>
    <xf numFmtId="0" fontId="25" fillId="0" borderId="0" xfId="0" applyFont="1" applyAlignment="1">
      <alignment horizontal="left" indent="1"/>
    </xf>
    <xf numFmtId="164" fontId="25" fillId="0" borderId="0" xfId="0" applyNumberFormat="1" applyFont="1" applyAlignment="1">
      <alignment horizontal="left" inden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left" indent="1"/>
    </xf>
    <xf numFmtId="165" fontId="25" fillId="0" borderId="0" xfId="0" applyNumberFormat="1" applyFont="1" applyAlignment="1">
      <alignment horizontal="left" indent="1"/>
    </xf>
    <xf numFmtId="16" fontId="25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164" fontId="29" fillId="0" borderId="0" xfId="0" applyNumberFormat="1" applyFont="1" applyAlignment="1">
      <alignment horizontal="left" indent="1"/>
    </xf>
    <xf numFmtId="0" fontId="18" fillId="0" borderId="0" xfId="0" applyFont="1"/>
    <xf numFmtId="2" fontId="29" fillId="0" borderId="0" xfId="0" applyNumberFormat="1" applyFont="1" applyAlignment="1">
      <alignment horizontal="left" indent="1"/>
    </xf>
    <xf numFmtId="165" fontId="28" fillId="0" borderId="0" xfId="0" applyNumberFormat="1" applyFont="1" applyAlignment="1">
      <alignment horizontal="left" indent="1"/>
    </xf>
    <xf numFmtId="2" fontId="28" fillId="0" borderId="0" xfId="0" applyNumberFormat="1" applyFont="1" applyAlignment="1">
      <alignment horizontal="left" indent="1"/>
    </xf>
    <xf numFmtId="16" fontId="28" fillId="0" borderId="0" xfId="0" applyNumberFormat="1" applyFont="1" applyAlignment="1">
      <alignment horizontal="left" indent="1"/>
    </xf>
    <xf numFmtId="0" fontId="18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7" fontId="26" fillId="0" borderId="0" xfId="0" applyNumberFormat="1" applyFont="1" applyAlignment="1">
      <alignment horizontal="center"/>
    </xf>
    <xf numFmtId="10" fontId="2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7" fontId="30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6" fontId="0" fillId="0" borderId="0" xfId="0" applyNumberFormat="1"/>
    <xf numFmtId="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left"/>
    </xf>
    <xf numFmtId="167" fontId="16" fillId="0" borderId="0" xfId="0" applyNumberFormat="1" applyFont="1" applyAlignment="1">
      <alignment horizontal="left"/>
    </xf>
    <xf numFmtId="0" fontId="31" fillId="33" borderId="0" xfId="0" applyFont="1" applyFill="1" applyAlignment="1">
      <alignment horizontal="left" indent="1"/>
    </xf>
    <xf numFmtId="0" fontId="32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16" fontId="34" fillId="0" borderId="0" xfId="0" applyNumberFormat="1" applyFont="1" applyAlignment="1">
      <alignment horizontal="left" indent="1"/>
    </xf>
    <xf numFmtId="164" fontId="34" fillId="0" borderId="0" xfId="0" applyNumberFormat="1" applyFont="1" applyAlignment="1">
      <alignment horizontal="left" indent="1"/>
    </xf>
    <xf numFmtId="8" fontId="35" fillId="0" borderId="0" xfId="0" applyNumberFormat="1" applyFont="1" applyAlignment="1">
      <alignment horizontal="left" vertical="center" indent="1"/>
    </xf>
    <xf numFmtId="164" fontId="32" fillId="0" borderId="0" xfId="0" applyNumberFormat="1" applyFont="1" applyAlignment="1">
      <alignment horizontal="left" indent="1"/>
    </xf>
    <xf numFmtId="10" fontId="34" fillId="0" borderId="0" xfId="0" applyNumberFormat="1" applyFont="1" applyAlignment="1">
      <alignment horizontal="left" indent="1"/>
    </xf>
    <xf numFmtId="8" fontId="36" fillId="0" borderId="0" xfId="0" applyNumberFormat="1" applyFont="1" applyAlignment="1">
      <alignment horizontal="left" vertical="center" indent="1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vertical="center" indent="1"/>
    </xf>
    <xf numFmtId="0" fontId="34" fillId="0" borderId="0" xfId="0" applyFont="1" applyAlignment="1">
      <alignment horizontal="center"/>
    </xf>
    <xf numFmtId="8" fontId="37" fillId="0" borderId="0" xfId="0" applyNumberFormat="1" applyFont="1" applyAlignment="1">
      <alignment horizontal="left" vertical="center" indent="1"/>
    </xf>
    <xf numFmtId="164" fontId="38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left" indent="1"/>
    </xf>
    <xf numFmtId="0" fontId="34" fillId="0" borderId="0" xfId="0" applyFont="1"/>
    <xf numFmtId="164" fontId="39" fillId="0" borderId="0" xfId="0" applyNumberFormat="1" applyFont="1" applyAlignment="1">
      <alignment horizontal="left" indent="1"/>
    </xf>
    <xf numFmtId="0" fontId="38" fillId="0" borderId="0" xfId="0" applyFont="1" applyAlignment="1">
      <alignment horizontal="left" indent="1"/>
    </xf>
    <xf numFmtId="166" fontId="38" fillId="0" borderId="0" xfId="0" applyNumberFormat="1" applyFont="1" applyAlignment="1">
      <alignment horizontal="left" indent="1"/>
    </xf>
    <xf numFmtId="49" fontId="34" fillId="0" borderId="0" xfId="0" applyNumberFormat="1" applyFont="1" applyAlignment="1">
      <alignment horizontal="left" indent="1"/>
    </xf>
    <xf numFmtId="0" fontId="41" fillId="0" borderId="0" xfId="42" applyFont="1" applyAlignment="1"/>
    <xf numFmtId="0" fontId="16" fillId="0" borderId="0" xfId="0" applyFont="1"/>
    <xf numFmtId="164" fontId="16" fillId="0" borderId="0" xfId="0" applyNumberFormat="1" applyFont="1" applyAlignment="1">
      <alignment horizontal="left"/>
    </xf>
    <xf numFmtId="10" fontId="16" fillId="0" borderId="0" xfId="0" applyNumberFormat="1" applyFont="1" applyAlignment="1">
      <alignment horizontal="left"/>
    </xf>
    <xf numFmtId="0" fontId="31" fillId="0" borderId="0" xfId="0" applyFont="1" applyAlignment="1">
      <alignment horizontal="left" indent="1"/>
    </xf>
    <xf numFmtId="10" fontId="16" fillId="34" borderId="0" xfId="0" applyNumberFormat="1" applyFont="1" applyFill="1" applyAlignment="1">
      <alignment horizontal="left"/>
    </xf>
    <xf numFmtId="167" fontId="19" fillId="34" borderId="0" xfId="0" applyNumberFormat="1" applyFont="1" applyFill="1" applyAlignment="1">
      <alignment horizontal="left"/>
    </xf>
    <xf numFmtId="10" fontId="42" fillId="0" borderId="0" xfId="0" applyNumberFormat="1" applyFont="1" applyAlignment="1">
      <alignment horizontal="left" indent="1"/>
    </xf>
    <xf numFmtId="169" fontId="18" fillId="0" borderId="0" xfId="0" applyNumberFormat="1" applyFont="1" applyAlignment="1">
      <alignment horizontal="center" vertical="center"/>
    </xf>
    <xf numFmtId="169" fontId="20" fillId="33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/>
    </xf>
    <xf numFmtId="167" fontId="19" fillId="0" borderId="0" xfId="0" applyNumberFormat="1" applyFont="1" applyAlignment="1">
      <alignment horizontal="left"/>
    </xf>
    <xf numFmtId="164" fontId="0" fillId="0" borderId="0" xfId="0" applyNumberFormat="1"/>
    <xf numFmtId="169" fontId="34" fillId="0" borderId="0" xfId="0" applyNumberFormat="1" applyFont="1" applyAlignment="1">
      <alignment horizontal="left" inden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89797728691418E-2"/>
          <c:y val="5.3051544452708883E-2"/>
          <c:w val="0.88188867016622918"/>
          <c:h val="0.81450721498240652"/>
        </c:manualLayout>
      </c:layout>
      <c:areaChart>
        <c:grouping val="stacked"/>
        <c:varyColors val="0"/>
        <c:ser>
          <c:idx val="0"/>
          <c:order val="0"/>
          <c:tx>
            <c:strRef>
              <c:f>STATEMEN!$R$3:$R$4</c:f>
              <c:strCache>
                <c:ptCount val="2"/>
                <c:pt idx="0">
                  <c:v>Cumulative Net Profit Trading One Unit</c:v>
                </c:pt>
              </c:strCache>
            </c:strRef>
          </c:tx>
          <c:spPr>
            <a:solidFill>
              <a:srgbClr val="002060">
                <a:alpha val="25000"/>
              </a:srgbClr>
            </a:solidFill>
            <a:ln w="25400" cmpd="dbl">
              <a:solidFill>
                <a:schemeClr val="tx1"/>
              </a:solidFill>
            </a:ln>
            <a:effectLst/>
          </c:spPr>
          <c:cat>
            <c:strRef>
              <c:f>STATEMEN!$Q$6:$Q$149</c:f>
              <c:strCache>
                <c:ptCount val="144"/>
                <c:pt idx="0">
                  <c:v>17-Aug</c:v>
                </c:pt>
                <c:pt idx="1">
                  <c:v>17-Sep</c:v>
                </c:pt>
                <c:pt idx="2">
                  <c:v>17-Oct</c:v>
                </c:pt>
                <c:pt idx="3">
                  <c:v>17-Nov</c:v>
                </c:pt>
                <c:pt idx="4">
                  <c:v>17-Dec</c:v>
                </c:pt>
                <c:pt idx="5">
                  <c:v>17-Jan</c:v>
                </c:pt>
                <c:pt idx="6">
                  <c:v>17-Feb</c:v>
                </c:pt>
                <c:pt idx="7">
                  <c:v>17-Mar</c:v>
                </c:pt>
                <c:pt idx="8">
                  <c:v>17-Apr</c:v>
                </c:pt>
                <c:pt idx="9">
                  <c:v>17-May</c:v>
                </c:pt>
                <c:pt idx="10">
                  <c:v>17-Jun</c:v>
                </c:pt>
                <c:pt idx="11">
                  <c:v>17-Jul</c:v>
                </c:pt>
                <c:pt idx="12">
                  <c:v>17-Aug</c:v>
                </c:pt>
                <c:pt idx="13">
                  <c:v>17-Sep</c:v>
                </c:pt>
                <c:pt idx="14">
                  <c:v>17-Oct</c:v>
                </c:pt>
                <c:pt idx="15">
                  <c:v>17-Nov</c:v>
                </c:pt>
                <c:pt idx="16">
                  <c:v>17-Dec</c:v>
                </c:pt>
                <c:pt idx="17">
                  <c:v>17-Jan</c:v>
                </c:pt>
                <c:pt idx="18">
                  <c:v>17-Feb</c:v>
                </c:pt>
                <c:pt idx="19">
                  <c:v>17-Mar</c:v>
                </c:pt>
                <c:pt idx="20">
                  <c:v>17-Apr</c:v>
                </c:pt>
                <c:pt idx="21">
                  <c:v>17-May</c:v>
                </c:pt>
                <c:pt idx="22">
                  <c:v>17-Jun</c:v>
                </c:pt>
                <c:pt idx="23">
                  <c:v>17-Jul</c:v>
                </c:pt>
                <c:pt idx="24">
                  <c:v>17-Aug</c:v>
                </c:pt>
                <c:pt idx="25">
                  <c:v>17-Sep</c:v>
                </c:pt>
                <c:pt idx="26">
                  <c:v>17-Oct</c:v>
                </c:pt>
                <c:pt idx="27">
                  <c:v>17-Nov</c:v>
                </c:pt>
                <c:pt idx="28">
                  <c:v>17-Dec</c:v>
                </c:pt>
                <c:pt idx="29">
                  <c:v>17-Jan</c:v>
                </c:pt>
                <c:pt idx="30">
                  <c:v>17-Feb</c:v>
                </c:pt>
                <c:pt idx="31">
                  <c:v>17-Mar</c:v>
                </c:pt>
                <c:pt idx="32">
                  <c:v>17-Apr</c:v>
                </c:pt>
                <c:pt idx="33">
                  <c:v>17-May</c:v>
                </c:pt>
                <c:pt idx="34">
                  <c:v>17-Jun</c:v>
                </c:pt>
                <c:pt idx="35">
                  <c:v>17-Jul</c:v>
                </c:pt>
                <c:pt idx="36">
                  <c:v>17-Aug</c:v>
                </c:pt>
                <c:pt idx="37">
                  <c:v>17-Sep</c:v>
                </c:pt>
                <c:pt idx="38">
                  <c:v>17-Oct</c:v>
                </c:pt>
                <c:pt idx="39">
                  <c:v>17-Nov</c:v>
                </c:pt>
                <c:pt idx="40">
                  <c:v>17-Dec</c:v>
                </c:pt>
                <c:pt idx="41">
                  <c:v>17-Jan</c:v>
                </c:pt>
                <c:pt idx="42">
                  <c:v>17-Feb</c:v>
                </c:pt>
                <c:pt idx="43">
                  <c:v>17-Mar</c:v>
                </c:pt>
                <c:pt idx="44">
                  <c:v>17-Apr</c:v>
                </c:pt>
                <c:pt idx="45">
                  <c:v>17-May</c:v>
                </c:pt>
                <c:pt idx="46">
                  <c:v>17-Jun</c:v>
                </c:pt>
                <c:pt idx="47">
                  <c:v>17-Jul</c:v>
                </c:pt>
                <c:pt idx="48">
                  <c:v>17-Aug</c:v>
                </c:pt>
                <c:pt idx="49">
                  <c:v>17-Sep</c:v>
                </c:pt>
                <c:pt idx="50">
                  <c:v>17-Oct</c:v>
                </c:pt>
                <c:pt idx="51">
                  <c:v>17-Nov</c:v>
                </c:pt>
                <c:pt idx="52">
                  <c:v>17-Dec</c:v>
                </c:pt>
                <c:pt idx="53">
                  <c:v>17-Jan</c:v>
                </c:pt>
                <c:pt idx="54">
                  <c:v>17-Feb</c:v>
                </c:pt>
                <c:pt idx="55">
                  <c:v>17-Mar</c:v>
                </c:pt>
                <c:pt idx="56">
                  <c:v>17-Apr</c:v>
                </c:pt>
                <c:pt idx="57">
                  <c:v>17-May</c:v>
                </c:pt>
                <c:pt idx="58">
                  <c:v>17-Jun</c:v>
                </c:pt>
                <c:pt idx="59">
                  <c:v>17-Jul</c:v>
                </c:pt>
                <c:pt idx="60">
                  <c:v>17-Aug</c:v>
                </c:pt>
                <c:pt idx="61">
                  <c:v>17-Sep</c:v>
                </c:pt>
                <c:pt idx="62">
                  <c:v>17-Oct</c:v>
                </c:pt>
                <c:pt idx="63">
                  <c:v>17-Nov</c:v>
                </c:pt>
                <c:pt idx="64">
                  <c:v>17-Dec</c:v>
                </c:pt>
                <c:pt idx="65">
                  <c:v>17-Jan</c:v>
                </c:pt>
                <c:pt idx="66">
                  <c:v>17-Feb</c:v>
                </c:pt>
                <c:pt idx="67">
                  <c:v>17-Mar</c:v>
                </c:pt>
                <c:pt idx="68">
                  <c:v>17-Apr</c:v>
                </c:pt>
                <c:pt idx="69">
                  <c:v>17-May</c:v>
                </c:pt>
                <c:pt idx="70">
                  <c:v>17-Jun</c:v>
                </c:pt>
                <c:pt idx="71">
                  <c:v>17-Jul</c:v>
                </c:pt>
                <c:pt idx="72">
                  <c:v>17-Aug</c:v>
                </c:pt>
                <c:pt idx="73">
                  <c:v>17-Sep</c:v>
                </c:pt>
                <c:pt idx="74">
                  <c:v>17-Oct</c:v>
                </c:pt>
                <c:pt idx="75">
                  <c:v>17-Nov</c:v>
                </c:pt>
                <c:pt idx="76">
                  <c:v>17-Dec</c:v>
                </c:pt>
                <c:pt idx="77">
                  <c:v>18-Jan</c:v>
                </c:pt>
                <c:pt idx="78">
                  <c:v>18-Feb</c:v>
                </c:pt>
                <c:pt idx="79">
                  <c:v>18-Mar</c:v>
                </c:pt>
                <c:pt idx="80">
                  <c:v>18-Apr</c:v>
                </c:pt>
                <c:pt idx="81">
                  <c:v>18-May</c:v>
                </c:pt>
                <c:pt idx="82">
                  <c:v>18-Jun</c:v>
                </c:pt>
                <c:pt idx="83">
                  <c:v>18-Jul</c:v>
                </c:pt>
                <c:pt idx="84">
                  <c:v>18-Aug</c:v>
                </c:pt>
                <c:pt idx="85">
                  <c:v>18-Sep</c:v>
                </c:pt>
                <c:pt idx="86">
                  <c:v>18-Oct</c:v>
                </c:pt>
                <c:pt idx="87">
                  <c:v>18-Nov</c:v>
                </c:pt>
                <c:pt idx="88">
                  <c:v>18-Dec</c:v>
                </c:pt>
                <c:pt idx="89">
                  <c:v>19-Jan</c:v>
                </c:pt>
                <c:pt idx="90">
                  <c:v>19-Feb</c:v>
                </c:pt>
                <c:pt idx="91">
                  <c:v>19-Mar</c:v>
                </c:pt>
                <c:pt idx="92">
                  <c:v>19-Apr</c:v>
                </c:pt>
                <c:pt idx="93">
                  <c:v>19-May</c:v>
                </c:pt>
                <c:pt idx="94">
                  <c:v>19-Jun</c:v>
                </c:pt>
                <c:pt idx="95">
                  <c:v>19-Jul </c:v>
                </c:pt>
                <c:pt idx="96">
                  <c:v>19-Aug</c:v>
                </c:pt>
                <c:pt idx="97">
                  <c:v>19-Sep</c:v>
                </c:pt>
                <c:pt idx="98">
                  <c:v>19-Oct</c:v>
                </c:pt>
                <c:pt idx="99">
                  <c:v>19-Nov</c:v>
                </c:pt>
                <c:pt idx="100">
                  <c:v>19-Dec</c:v>
                </c:pt>
                <c:pt idx="101">
                  <c:v>20-Jan</c:v>
                </c:pt>
                <c:pt idx="102">
                  <c:v>20-Feb</c:v>
                </c:pt>
                <c:pt idx="103">
                  <c:v>20-Mar</c:v>
                </c:pt>
                <c:pt idx="104">
                  <c:v>20-Apr</c:v>
                </c:pt>
                <c:pt idx="105">
                  <c:v>20-May</c:v>
                </c:pt>
                <c:pt idx="106">
                  <c:v>20-Jun</c:v>
                </c:pt>
                <c:pt idx="107">
                  <c:v>20-Jul</c:v>
                </c:pt>
                <c:pt idx="108">
                  <c:v>20-Aug</c:v>
                </c:pt>
                <c:pt idx="109">
                  <c:v>20-Sep</c:v>
                </c:pt>
                <c:pt idx="110">
                  <c:v>20-Oct</c:v>
                </c:pt>
                <c:pt idx="111">
                  <c:v>20-Nov</c:v>
                </c:pt>
                <c:pt idx="112">
                  <c:v>20-Dec</c:v>
                </c:pt>
                <c:pt idx="113">
                  <c:v>21-Jan</c:v>
                </c:pt>
                <c:pt idx="114">
                  <c:v>21-Feb</c:v>
                </c:pt>
                <c:pt idx="115">
                  <c:v>21-Mar</c:v>
                </c:pt>
                <c:pt idx="116">
                  <c:v>21-Apr</c:v>
                </c:pt>
                <c:pt idx="117">
                  <c:v>21-May</c:v>
                </c:pt>
                <c:pt idx="118">
                  <c:v>21-Jun</c:v>
                </c:pt>
                <c:pt idx="119">
                  <c:v>21-Jul</c:v>
                </c:pt>
                <c:pt idx="120">
                  <c:v>21-Aug</c:v>
                </c:pt>
                <c:pt idx="121">
                  <c:v>21-Sep</c:v>
                </c:pt>
                <c:pt idx="122">
                  <c:v>21-Oct</c:v>
                </c:pt>
                <c:pt idx="123">
                  <c:v>21-Nov</c:v>
                </c:pt>
                <c:pt idx="124">
                  <c:v>21-Dec</c:v>
                </c:pt>
                <c:pt idx="125">
                  <c:v>22-Jan</c:v>
                </c:pt>
                <c:pt idx="126">
                  <c:v>22-Feb</c:v>
                </c:pt>
                <c:pt idx="127">
                  <c:v>22-Mar</c:v>
                </c:pt>
                <c:pt idx="128">
                  <c:v>22-Apr</c:v>
                </c:pt>
                <c:pt idx="129">
                  <c:v>22-May</c:v>
                </c:pt>
                <c:pt idx="130">
                  <c:v>22-Jun</c:v>
                </c:pt>
                <c:pt idx="131">
                  <c:v>22-Jul</c:v>
                </c:pt>
                <c:pt idx="132">
                  <c:v>22-Aug</c:v>
                </c:pt>
                <c:pt idx="133">
                  <c:v>22-Sep</c:v>
                </c:pt>
                <c:pt idx="134">
                  <c:v>22-Oct</c:v>
                </c:pt>
                <c:pt idx="135">
                  <c:v>22-Nov</c:v>
                </c:pt>
                <c:pt idx="136">
                  <c:v>22-Dec</c:v>
                </c:pt>
                <c:pt idx="137">
                  <c:v>23-Jan</c:v>
                </c:pt>
                <c:pt idx="138">
                  <c:v>23-Feb</c:v>
                </c:pt>
                <c:pt idx="139">
                  <c:v>23-Mar</c:v>
                </c:pt>
                <c:pt idx="140">
                  <c:v>23-Apr</c:v>
                </c:pt>
                <c:pt idx="141">
                  <c:v>23-May</c:v>
                </c:pt>
                <c:pt idx="142">
                  <c:v>23-Jun</c:v>
                </c:pt>
                <c:pt idx="143">
                  <c:v>23-Jul</c:v>
                </c:pt>
              </c:strCache>
            </c:strRef>
          </c:cat>
          <c:val>
            <c:numRef>
              <c:f>STATEMEN!$R$6:$R$149</c:f>
              <c:numCache>
                <c:formatCode>"$"#,##0</c:formatCode>
                <c:ptCount val="144"/>
                <c:pt idx="0">
                  <c:v>-3867.9375</c:v>
                </c:pt>
                <c:pt idx="1">
                  <c:v>-2625.2624999999998</c:v>
                </c:pt>
                <c:pt idx="2">
                  <c:v>-366.71249999999964</c:v>
                </c:pt>
                <c:pt idx="3">
                  <c:v>406.6125000000003</c:v>
                </c:pt>
                <c:pt idx="4">
                  <c:v>1576.0500000000002</c:v>
                </c:pt>
                <c:pt idx="5">
                  <c:v>4947.6000000000004</c:v>
                </c:pt>
                <c:pt idx="6">
                  <c:v>7544.7749999999996</c:v>
                </c:pt>
                <c:pt idx="7">
                  <c:v>10779.825000000001</c:v>
                </c:pt>
                <c:pt idx="8">
                  <c:v>7012.9500000000007</c:v>
                </c:pt>
                <c:pt idx="9">
                  <c:v>4722.2000000000007</c:v>
                </c:pt>
                <c:pt idx="10">
                  <c:v>6961.85</c:v>
                </c:pt>
                <c:pt idx="11">
                  <c:v>11157.650000000001</c:v>
                </c:pt>
                <c:pt idx="12">
                  <c:v>9173.1500000000015</c:v>
                </c:pt>
                <c:pt idx="13">
                  <c:v>6055.5250000000015</c:v>
                </c:pt>
                <c:pt idx="14">
                  <c:v>6136.3750000000018</c:v>
                </c:pt>
                <c:pt idx="15">
                  <c:v>6612.0250000000015</c:v>
                </c:pt>
                <c:pt idx="16">
                  <c:v>6563.6375000000016</c:v>
                </c:pt>
                <c:pt idx="17">
                  <c:v>9632.2625000000007</c:v>
                </c:pt>
                <c:pt idx="18">
                  <c:v>10257.012500000001</c:v>
                </c:pt>
                <c:pt idx="19">
                  <c:v>7701.4175000000014</c:v>
                </c:pt>
                <c:pt idx="20">
                  <c:v>10977.417500000001</c:v>
                </c:pt>
                <c:pt idx="21">
                  <c:v>14379.417500000001</c:v>
                </c:pt>
                <c:pt idx="22">
                  <c:v>12639.917500000001</c:v>
                </c:pt>
                <c:pt idx="23">
                  <c:v>14608.667500000001</c:v>
                </c:pt>
                <c:pt idx="24">
                  <c:v>13279.542500000001</c:v>
                </c:pt>
                <c:pt idx="25">
                  <c:v>15216.792500000001</c:v>
                </c:pt>
                <c:pt idx="26">
                  <c:v>16576.542500000003</c:v>
                </c:pt>
                <c:pt idx="27">
                  <c:v>14095.917500000003</c:v>
                </c:pt>
                <c:pt idx="28">
                  <c:v>15292.917500000003</c:v>
                </c:pt>
                <c:pt idx="29">
                  <c:v>14043.417500000003</c:v>
                </c:pt>
                <c:pt idx="30">
                  <c:v>18508.017500000002</c:v>
                </c:pt>
                <c:pt idx="31">
                  <c:v>17681.142500000002</c:v>
                </c:pt>
                <c:pt idx="32">
                  <c:v>20967.642500000002</c:v>
                </c:pt>
                <c:pt idx="33">
                  <c:v>23519.142500000002</c:v>
                </c:pt>
                <c:pt idx="34">
                  <c:v>23729.142500000002</c:v>
                </c:pt>
                <c:pt idx="35">
                  <c:v>25070.517500000002</c:v>
                </c:pt>
                <c:pt idx="36">
                  <c:v>26908.017500000002</c:v>
                </c:pt>
                <c:pt idx="37">
                  <c:v>27204.1175</c:v>
                </c:pt>
                <c:pt idx="38">
                  <c:v>25832.2925</c:v>
                </c:pt>
                <c:pt idx="39">
                  <c:v>29108.2925</c:v>
                </c:pt>
                <c:pt idx="40">
                  <c:v>30315.7925</c:v>
                </c:pt>
                <c:pt idx="41">
                  <c:v>36678.792499999996</c:v>
                </c:pt>
                <c:pt idx="42">
                  <c:v>37053.117499999993</c:v>
                </c:pt>
                <c:pt idx="43">
                  <c:v>41187.492499999993</c:v>
                </c:pt>
                <c:pt idx="44">
                  <c:v>39483.211249999993</c:v>
                </c:pt>
                <c:pt idx="45">
                  <c:v>39232.392499999994</c:v>
                </c:pt>
                <c:pt idx="46">
                  <c:v>40052.179999999993</c:v>
                </c:pt>
                <c:pt idx="47">
                  <c:v>42005.179999999993</c:v>
                </c:pt>
                <c:pt idx="48">
                  <c:v>39735.867499999993</c:v>
                </c:pt>
                <c:pt idx="49">
                  <c:v>40426.767499999994</c:v>
                </c:pt>
                <c:pt idx="50">
                  <c:v>45340.767499999994</c:v>
                </c:pt>
                <c:pt idx="51">
                  <c:v>43049.142499999994</c:v>
                </c:pt>
                <c:pt idx="52">
                  <c:v>43007.142499999994</c:v>
                </c:pt>
                <c:pt idx="53">
                  <c:v>42156.642499999994</c:v>
                </c:pt>
                <c:pt idx="54">
                  <c:v>40139.067499999997</c:v>
                </c:pt>
                <c:pt idx="55">
                  <c:v>42619.692499999997</c:v>
                </c:pt>
                <c:pt idx="56">
                  <c:v>41265.192499999997</c:v>
                </c:pt>
                <c:pt idx="57">
                  <c:v>42963.042499999996</c:v>
                </c:pt>
                <c:pt idx="58">
                  <c:v>41978.142499999994</c:v>
                </c:pt>
                <c:pt idx="59">
                  <c:v>44395.767499999994</c:v>
                </c:pt>
                <c:pt idx="60">
                  <c:v>47947.392499999994</c:v>
                </c:pt>
                <c:pt idx="61">
                  <c:v>49501.917499999996</c:v>
                </c:pt>
                <c:pt idx="62">
                  <c:v>48371.854999999996</c:v>
                </c:pt>
                <c:pt idx="63">
                  <c:v>52687.354999999996</c:v>
                </c:pt>
                <c:pt idx="64">
                  <c:v>52183.354999999996</c:v>
                </c:pt>
                <c:pt idx="65">
                  <c:v>54026.42</c:v>
                </c:pt>
                <c:pt idx="66">
                  <c:v>56121.17</c:v>
                </c:pt>
                <c:pt idx="67">
                  <c:v>57554.42</c:v>
                </c:pt>
                <c:pt idx="68">
                  <c:v>56057.697499999995</c:v>
                </c:pt>
                <c:pt idx="69">
                  <c:v>57664.407499999994</c:v>
                </c:pt>
                <c:pt idx="70">
                  <c:v>59323.407499999994</c:v>
                </c:pt>
                <c:pt idx="71">
                  <c:v>62961.657499999994</c:v>
                </c:pt>
                <c:pt idx="72">
                  <c:v>61271.157499999994</c:v>
                </c:pt>
                <c:pt idx="73">
                  <c:v>63435.207499999997</c:v>
                </c:pt>
                <c:pt idx="74">
                  <c:v>65106.597499999996</c:v>
                </c:pt>
                <c:pt idx="75">
                  <c:v>68199.897499999992</c:v>
                </c:pt>
                <c:pt idx="76">
                  <c:v>71242.307499999995</c:v>
                </c:pt>
                <c:pt idx="77">
                  <c:v>76230.412299999996</c:v>
                </c:pt>
                <c:pt idx="78">
                  <c:v>74300.816800000001</c:v>
                </c:pt>
                <c:pt idx="79">
                  <c:v>73704.584799999997</c:v>
                </c:pt>
                <c:pt idx="80">
                  <c:v>71683.334799999997</c:v>
                </c:pt>
                <c:pt idx="81">
                  <c:v>70583.284799999994</c:v>
                </c:pt>
                <c:pt idx="82">
                  <c:v>73816.47</c:v>
                </c:pt>
                <c:pt idx="83">
                  <c:v>75759.100200000001</c:v>
                </c:pt>
                <c:pt idx="84">
                  <c:v>78950.984700000001</c:v>
                </c:pt>
                <c:pt idx="85">
                  <c:v>77363.659100000004</c:v>
                </c:pt>
                <c:pt idx="86">
                  <c:v>80673.364100000006</c:v>
                </c:pt>
                <c:pt idx="87">
                  <c:v>78712.090100000001</c:v>
                </c:pt>
                <c:pt idx="88">
                  <c:v>86673.500899999999</c:v>
                </c:pt>
                <c:pt idx="89">
                  <c:v>89878.625899999999</c:v>
                </c:pt>
                <c:pt idx="90">
                  <c:v>92125.688899999994</c:v>
                </c:pt>
                <c:pt idx="91">
                  <c:v>92514.558499999999</c:v>
                </c:pt>
                <c:pt idx="92">
                  <c:v>94624.361300000004</c:v>
                </c:pt>
                <c:pt idx="93">
                  <c:v>91998.622100000008</c:v>
                </c:pt>
                <c:pt idx="94">
                  <c:v>93994.189100000003</c:v>
                </c:pt>
                <c:pt idx="95">
                  <c:v>94152.17588000001</c:v>
                </c:pt>
                <c:pt idx="96">
                  <c:v>93909.995880000017</c:v>
                </c:pt>
                <c:pt idx="97">
                  <c:v>94868.489213333349</c:v>
                </c:pt>
                <c:pt idx="98">
                  <c:v>96902.73163757578</c:v>
                </c:pt>
                <c:pt idx="99">
                  <c:v>98077.681637575777</c:v>
                </c:pt>
                <c:pt idx="100">
                  <c:v>99268.95714777986</c:v>
                </c:pt>
                <c:pt idx="101">
                  <c:v>98653.657147779857</c:v>
                </c:pt>
                <c:pt idx="102">
                  <c:v>103337.44464777986</c:v>
                </c:pt>
                <c:pt idx="103">
                  <c:v>109773.34464777986</c:v>
                </c:pt>
                <c:pt idx="104">
                  <c:v>109992.28464777986</c:v>
                </c:pt>
                <c:pt idx="105">
                  <c:v>108567.65464777985</c:v>
                </c:pt>
                <c:pt idx="106">
                  <c:v>107262.37464777986</c:v>
                </c:pt>
                <c:pt idx="107">
                  <c:v>107782.21464777985</c:v>
                </c:pt>
                <c:pt idx="108">
                  <c:v>108186.40464777985</c:v>
                </c:pt>
                <c:pt idx="109">
                  <c:v>108186.40464777985</c:v>
                </c:pt>
                <c:pt idx="110">
                  <c:v>108186.40464777985</c:v>
                </c:pt>
                <c:pt idx="111">
                  <c:v>108611.65464777985</c:v>
                </c:pt>
                <c:pt idx="112">
                  <c:v>108871.35464777985</c:v>
                </c:pt>
                <c:pt idx="113">
                  <c:v>109118.10464777985</c:v>
                </c:pt>
                <c:pt idx="114">
                  <c:v>109313.10464777985</c:v>
                </c:pt>
                <c:pt idx="115">
                  <c:v>109404.35464777985</c:v>
                </c:pt>
                <c:pt idx="116">
                  <c:v>110470.60464777985</c:v>
                </c:pt>
                <c:pt idx="117">
                  <c:v>110095.35464777985</c:v>
                </c:pt>
                <c:pt idx="118">
                  <c:v>110505.35464777985</c:v>
                </c:pt>
                <c:pt idx="119">
                  <c:v>111971.75464777985</c:v>
                </c:pt>
                <c:pt idx="120">
                  <c:v>112662.00464777985</c:v>
                </c:pt>
                <c:pt idx="121">
                  <c:v>112847.80464777985</c:v>
                </c:pt>
                <c:pt idx="122">
                  <c:v>112860.30464777985</c:v>
                </c:pt>
                <c:pt idx="123">
                  <c:v>112681.55464777985</c:v>
                </c:pt>
                <c:pt idx="124">
                  <c:v>111711.30464777985</c:v>
                </c:pt>
                <c:pt idx="125">
                  <c:v>114247.27464777985</c:v>
                </c:pt>
                <c:pt idx="126">
                  <c:v>115543.57464777985</c:v>
                </c:pt>
                <c:pt idx="127">
                  <c:v>116096.68744777986</c:v>
                </c:pt>
                <c:pt idx="128">
                  <c:v>117005.43744777986</c:v>
                </c:pt>
                <c:pt idx="129">
                  <c:v>116793.86744777985</c:v>
                </c:pt>
                <c:pt idx="130">
                  <c:v>119381.11744777985</c:v>
                </c:pt>
                <c:pt idx="131">
                  <c:v>120060.01744777984</c:v>
                </c:pt>
                <c:pt idx="132">
                  <c:v>120018.81744777985</c:v>
                </c:pt>
                <c:pt idx="133">
                  <c:v>122056.15700437261</c:v>
                </c:pt>
                <c:pt idx="134">
                  <c:v>120916.3370043726</c:v>
                </c:pt>
                <c:pt idx="135">
                  <c:v>122159.84900437261</c:v>
                </c:pt>
                <c:pt idx="136">
                  <c:v>121525.23700437261</c:v>
                </c:pt>
                <c:pt idx="137">
                  <c:v>121805.98700437261</c:v>
                </c:pt>
                <c:pt idx="138">
                  <c:v>122138.88700437261</c:v>
                </c:pt>
                <c:pt idx="139">
                  <c:v>122958.97033770593</c:v>
                </c:pt>
                <c:pt idx="140">
                  <c:v>123599.17033770593</c:v>
                </c:pt>
                <c:pt idx="141">
                  <c:v>123136.02748056308</c:v>
                </c:pt>
                <c:pt idx="142">
                  <c:v>124437.27748056308</c:v>
                </c:pt>
                <c:pt idx="143">
                  <c:v>124974.47748056307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5-4A03-8D67-E1899892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590720"/>
        <c:axId val="535599904"/>
      </c:areaChart>
      <c:catAx>
        <c:axId val="53559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99904"/>
        <c:crosses val="autoZero"/>
        <c:auto val="1"/>
        <c:lblAlgn val="ctr"/>
        <c:lblOffset val="100"/>
        <c:noMultiLvlLbl val="0"/>
      </c:catAx>
      <c:valAx>
        <c:axId val="535599904"/>
        <c:scaling>
          <c:orientation val="minMax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90720"/>
        <c:crosses val="autoZero"/>
        <c:crossBetween val="midCat"/>
        <c:majorUnit val="10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84711627487775E-2"/>
          <c:y val="0.10884840025999731"/>
          <c:w val="0.90137354790345436"/>
          <c:h val="0.68136510941038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STATEMEN!$T$3</c:f>
              <c:strCache>
                <c:ptCount val="1"/>
                <c:pt idx="0">
                  <c:v>Winning</c:v>
                </c:pt>
              </c:strCache>
            </c:strRef>
          </c:tx>
          <c:spPr>
            <a:solidFill>
              <a:schemeClr val="tx1"/>
            </a:solidFill>
            <a:ln w="28575">
              <a:solidFill>
                <a:schemeClr val="tx1"/>
              </a:solidFill>
            </a:ln>
            <a:effectLst/>
          </c:spPr>
          <c:invertIfNegative val="0"/>
          <c:cat>
            <c:strRef>
              <c:f>STATEMEN!$S$4:$S$149</c:f>
              <c:strCache>
                <c:ptCount val="146"/>
                <c:pt idx="0">
                  <c:v>Ending</c:v>
                </c:pt>
                <c:pt idx="2">
                  <c:v>17-Aug</c:v>
                </c:pt>
                <c:pt idx="3">
                  <c:v>17-Sep</c:v>
                </c:pt>
                <c:pt idx="4">
                  <c:v>17-Oct</c:v>
                </c:pt>
                <c:pt idx="5">
                  <c:v>17-Nov</c:v>
                </c:pt>
                <c:pt idx="6">
                  <c:v>17-Dec</c:v>
                </c:pt>
                <c:pt idx="7">
                  <c:v>17-Jan</c:v>
                </c:pt>
                <c:pt idx="8">
                  <c:v>17-Feb</c:v>
                </c:pt>
                <c:pt idx="9">
                  <c:v>17-Mar</c:v>
                </c:pt>
                <c:pt idx="10">
                  <c:v>17-Apr</c:v>
                </c:pt>
                <c:pt idx="11">
                  <c:v>17-May</c:v>
                </c:pt>
                <c:pt idx="12">
                  <c:v>17-Jun</c:v>
                </c:pt>
                <c:pt idx="13">
                  <c:v>17-Jul</c:v>
                </c:pt>
                <c:pt idx="14">
                  <c:v>17-Aug</c:v>
                </c:pt>
                <c:pt idx="15">
                  <c:v>17-Sep</c:v>
                </c:pt>
                <c:pt idx="16">
                  <c:v>17-Oct</c:v>
                </c:pt>
                <c:pt idx="17">
                  <c:v>17-Nov</c:v>
                </c:pt>
                <c:pt idx="18">
                  <c:v>17-Dec</c:v>
                </c:pt>
                <c:pt idx="19">
                  <c:v>17-Jan</c:v>
                </c:pt>
                <c:pt idx="20">
                  <c:v>17-Feb</c:v>
                </c:pt>
                <c:pt idx="21">
                  <c:v>17-Mar</c:v>
                </c:pt>
                <c:pt idx="22">
                  <c:v>17-Apr</c:v>
                </c:pt>
                <c:pt idx="23">
                  <c:v>17-May</c:v>
                </c:pt>
                <c:pt idx="24">
                  <c:v>17-Jun</c:v>
                </c:pt>
                <c:pt idx="25">
                  <c:v>17-Jul</c:v>
                </c:pt>
                <c:pt idx="26">
                  <c:v>17-Aug</c:v>
                </c:pt>
                <c:pt idx="27">
                  <c:v>17-Sep</c:v>
                </c:pt>
                <c:pt idx="28">
                  <c:v>17-Oct</c:v>
                </c:pt>
                <c:pt idx="29">
                  <c:v>17-Nov</c:v>
                </c:pt>
                <c:pt idx="30">
                  <c:v>17-Dec</c:v>
                </c:pt>
                <c:pt idx="31">
                  <c:v>17-Jan</c:v>
                </c:pt>
                <c:pt idx="32">
                  <c:v>17-Feb</c:v>
                </c:pt>
                <c:pt idx="33">
                  <c:v>17-Mar</c:v>
                </c:pt>
                <c:pt idx="34">
                  <c:v>17-Apr</c:v>
                </c:pt>
                <c:pt idx="35">
                  <c:v>17-May</c:v>
                </c:pt>
                <c:pt idx="36">
                  <c:v>17-Jun</c:v>
                </c:pt>
                <c:pt idx="37">
                  <c:v>17-Jul</c:v>
                </c:pt>
                <c:pt idx="38">
                  <c:v>17-Aug</c:v>
                </c:pt>
                <c:pt idx="39">
                  <c:v>17-Sep</c:v>
                </c:pt>
                <c:pt idx="40">
                  <c:v>17-Oct</c:v>
                </c:pt>
                <c:pt idx="41">
                  <c:v>17-Nov</c:v>
                </c:pt>
                <c:pt idx="42">
                  <c:v>17-Dec</c:v>
                </c:pt>
                <c:pt idx="43">
                  <c:v>17-Jan</c:v>
                </c:pt>
                <c:pt idx="44">
                  <c:v>17-Feb</c:v>
                </c:pt>
                <c:pt idx="45">
                  <c:v>17-Mar</c:v>
                </c:pt>
                <c:pt idx="46">
                  <c:v>17-Apr</c:v>
                </c:pt>
                <c:pt idx="47">
                  <c:v>17-May</c:v>
                </c:pt>
                <c:pt idx="48">
                  <c:v>17-Jun</c:v>
                </c:pt>
                <c:pt idx="49">
                  <c:v>17-Jul</c:v>
                </c:pt>
                <c:pt idx="50">
                  <c:v>17-Aug</c:v>
                </c:pt>
                <c:pt idx="51">
                  <c:v>17-Sep</c:v>
                </c:pt>
                <c:pt idx="52">
                  <c:v>17-Oct</c:v>
                </c:pt>
                <c:pt idx="53">
                  <c:v>17-Nov</c:v>
                </c:pt>
                <c:pt idx="54">
                  <c:v>17-Dec</c:v>
                </c:pt>
                <c:pt idx="55">
                  <c:v>17-Jan</c:v>
                </c:pt>
                <c:pt idx="56">
                  <c:v>17-Feb</c:v>
                </c:pt>
                <c:pt idx="57">
                  <c:v>17-Mar</c:v>
                </c:pt>
                <c:pt idx="58">
                  <c:v>17-Apr</c:v>
                </c:pt>
                <c:pt idx="59">
                  <c:v>17-May</c:v>
                </c:pt>
                <c:pt idx="60">
                  <c:v>17-Jun</c:v>
                </c:pt>
                <c:pt idx="61">
                  <c:v>17-Jul</c:v>
                </c:pt>
                <c:pt idx="62">
                  <c:v>17-Aug</c:v>
                </c:pt>
                <c:pt idx="63">
                  <c:v>17-Sep</c:v>
                </c:pt>
                <c:pt idx="64">
                  <c:v>17-Oct</c:v>
                </c:pt>
                <c:pt idx="65">
                  <c:v>17-Nov</c:v>
                </c:pt>
                <c:pt idx="66">
                  <c:v>17-Dec</c:v>
                </c:pt>
                <c:pt idx="67">
                  <c:v>17-Jan</c:v>
                </c:pt>
                <c:pt idx="68">
                  <c:v>17-Feb</c:v>
                </c:pt>
                <c:pt idx="69">
                  <c:v>17-Mar</c:v>
                </c:pt>
                <c:pt idx="70">
                  <c:v>17-Apr</c:v>
                </c:pt>
                <c:pt idx="71">
                  <c:v>17-May</c:v>
                </c:pt>
                <c:pt idx="72">
                  <c:v>17-Jun</c:v>
                </c:pt>
                <c:pt idx="73">
                  <c:v>17-Jul</c:v>
                </c:pt>
                <c:pt idx="74">
                  <c:v>17-Aug</c:v>
                </c:pt>
                <c:pt idx="75">
                  <c:v>17-Sep</c:v>
                </c:pt>
                <c:pt idx="76">
                  <c:v>17-Oct</c:v>
                </c:pt>
                <c:pt idx="77">
                  <c:v>17-Nov</c:v>
                </c:pt>
                <c:pt idx="78">
                  <c:v>17-Dec</c:v>
                </c:pt>
                <c:pt idx="79">
                  <c:v>18-Jan</c:v>
                </c:pt>
                <c:pt idx="80">
                  <c:v>18-Feb</c:v>
                </c:pt>
                <c:pt idx="81">
                  <c:v>18-Mar</c:v>
                </c:pt>
                <c:pt idx="82">
                  <c:v>18-Apr</c:v>
                </c:pt>
                <c:pt idx="83">
                  <c:v>18-May</c:v>
                </c:pt>
                <c:pt idx="84">
                  <c:v>18-Jun</c:v>
                </c:pt>
                <c:pt idx="85">
                  <c:v>18-Jul</c:v>
                </c:pt>
                <c:pt idx="86">
                  <c:v>18-Aug</c:v>
                </c:pt>
                <c:pt idx="87">
                  <c:v>18-Sep</c:v>
                </c:pt>
                <c:pt idx="88">
                  <c:v>18-Oct</c:v>
                </c:pt>
                <c:pt idx="89">
                  <c:v>18-Nov</c:v>
                </c:pt>
                <c:pt idx="90">
                  <c:v>18-Dec</c:v>
                </c:pt>
                <c:pt idx="91">
                  <c:v>19-Jan</c:v>
                </c:pt>
                <c:pt idx="92">
                  <c:v>19-Feb</c:v>
                </c:pt>
                <c:pt idx="93">
                  <c:v>19-Mar</c:v>
                </c:pt>
                <c:pt idx="94">
                  <c:v>19-Apr</c:v>
                </c:pt>
                <c:pt idx="95">
                  <c:v>19-May</c:v>
                </c:pt>
                <c:pt idx="96">
                  <c:v>19-Jun</c:v>
                </c:pt>
                <c:pt idx="97">
                  <c:v>19-Jul </c:v>
                </c:pt>
                <c:pt idx="98">
                  <c:v>19-Aug</c:v>
                </c:pt>
                <c:pt idx="99">
                  <c:v>19-Sep</c:v>
                </c:pt>
                <c:pt idx="100">
                  <c:v>19-Oct</c:v>
                </c:pt>
                <c:pt idx="101">
                  <c:v>19-Nov</c:v>
                </c:pt>
                <c:pt idx="102">
                  <c:v>19-Dec</c:v>
                </c:pt>
                <c:pt idx="103">
                  <c:v>20-Jan</c:v>
                </c:pt>
                <c:pt idx="104">
                  <c:v>20-Feb</c:v>
                </c:pt>
                <c:pt idx="105">
                  <c:v>20-Mar</c:v>
                </c:pt>
                <c:pt idx="106">
                  <c:v>20-Apr</c:v>
                </c:pt>
                <c:pt idx="107">
                  <c:v>20-May</c:v>
                </c:pt>
                <c:pt idx="108">
                  <c:v>20-Jun</c:v>
                </c:pt>
                <c:pt idx="109">
                  <c:v>20-Jul</c:v>
                </c:pt>
                <c:pt idx="110">
                  <c:v>20-Aug</c:v>
                </c:pt>
                <c:pt idx="111">
                  <c:v>20-Sep</c:v>
                </c:pt>
                <c:pt idx="112">
                  <c:v>20-Oct</c:v>
                </c:pt>
                <c:pt idx="113">
                  <c:v>20-Nov</c:v>
                </c:pt>
                <c:pt idx="114">
                  <c:v>20-Dec</c:v>
                </c:pt>
                <c:pt idx="115">
                  <c:v>21-Jan</c:v>
                </c:pt>
                <c:pt idx="116">
                  <c:v>21-Feb</c:v>
                </c:pt>
                <c:pt idx="117">
                  <c:v>21-Mar</c:v>
                </c:pt>
                <c:pt idx="118">
                  <c:v>21-Apr</c:v>
                </c:pt>
                <c:pt idx="119">
                  <c:v>21-May</c:v>
                </c:pt>
                <c:pt idx="120">
                  <c:v>21-Jun</c:v>
                </c:pt>
                <c:pt idx="121">
                  <c:v>21-Jul</c:v>
                </c:pt>
                <c:pt idx="122">
                  <c:v>21-Aug</c:v>
                </c:pt>
                <c:pt idx="123">
                  <c:v>21-Sep</c:v>
                </c:pt>
                <c:pt idx="124">
                  <c:v>21-Oct</c:v>
                </c:pt>
                <c:pt idx="125">
                  <c:v>21-Nov</c:v>
                </c:pt>
                <c:pt idx="126">
                  <c:v>21-Dec</c:v>
                </c:pt>
                <c:pt idx="127">
                  <c:v>22-Jan</c:v>
                </c:pt>
                <c:pt idx="128">
                  <c:v>22-Feb</c:v>
                </c:pt>
                <c:pt idx="129">
                  <c:v>22-Mar</c:v>
                </c:pt>
                <c:pt idx="130">
                  <c:v>22-Apr</c:v>
                </c:pt>
                <c:pt idx="131">
                  <c:v>22-May</c:v>
                </c:pt>
                <c:pt idx="132">
                  <c:v>22-Jun</c:v>
                </c:pt>
                <c:pt idx="133">
                  <c:v>22-Jul</c:v>
                </c:pt>
                <c:pt idx="134">
                  <c:v>22-Aug</c:v>
                </c:pt>
                <c:pt idx="135">
                  <c:v>22-Sep</c:v>
                </c:pt>
                <c:pt idx="136">
                  <c:v>22-Oct</c:v>
                </c:pt>
                <c:pt idx="137">
                  <c:v>22-Nov</c:v>
                </c:pt>
                <c:pt idx="138">
                  <c:v>22-Dec</c:v>
                </c:pt>
                <c:pt idx="139">
                  <c:v>23-Jan</c:v>
                </c:pt>
                <c:pt idx="140">
                  <c:v>23-Feb</c:v>
                </c:pt>
                <c:pt idx="141">
                  <c:v>23-Mar</c:v>
                </c:pt>
                <c:pt idx="142">
                  <c:v>23-Apr</c:v>
                </c:pt>
                <c:pt idx="143">
                  <c:v>23-May</c:v>
                </c:pt>
                <c:pt idx="144">
                  <c:v>23-Jun</c:v>
                </c:pt>
                <c:pt idx="145">
                  <c:v>23-Jul</c:v>
                </c:pt>
              </c:strCache>
            </c:strRef>
          </c:cat>
          <c:val>
            <c:numRef>
              <c:f>STATEMEN!$T$4:$T$149</c:f>
              <c:numCache>
                <c:formatCode>General</c:formatCode>
                <c:ptCount val="146"/>
                <c:pt idx="3" formatCode="&quot;$&quot;#,##0.00_);[Red]\(&quot;$&quot;#,##0.00\)">
                  <c:v>1242.675</c:v>
                </c:pt>
                <c:pt idx="4" formatCode="&quot;$&quot;#,##0.00_);[Red]\(&quot;$&quot;#,##0.00\)">
                  <c:v>2258.5500000000002</c:v>
                </c:pt>
                <c:pt idx="5" formatCode="&quot;$&quot;#,##0.00_);[Red]\(&quot;$&quot;#,##0.00\)">
                  <c:v>773.32499999999993</c:v>
                </c:pt>
                <c:pt idx="6" formatCode="&quot;$&quot;#,##0.00_);[Red]\(&quot;$&quot;#,##0.00\)">
                  <c:v>1169.4375</c:v>
                </c:pt>
                <c:pt idx="7" formatCode="&quot;$&quot;#,##0.00_);[Red]\(&quot;$&quot;#,##0.00\)">
                  <c:v>3371.5499999999997</c:v>
                </c:pt>
                <c:pt idx="8" formatCode="&quot;$&quot;#,##0.00_);[Red]\(&quot;$&quot;#,##0.00\)">
                  <c:v>2597.1749999999997</c:v>
                </c:pt>
                <c:pt idx="9" formatCode="&quot;$&quot;#,##0.00_);[Red]\(&quot;$&quot;#,##0.00\)">
                  <c:v>3235.05</c:v>
                </c:pt>
                <c:pt idx="12" formatCode="&quot;$&quot;#,##0.00_);[Red]\(&quot;$&quot;#,##0.00\)">
                  <c:v>2239.65</c:v>
                </c:pt>
                <c:pt idx="13" formatCode="&quot;$&quot;#,##0.00_);[Red]\(&quot;$&quot;#,##0.00\)">
                  <c:v>4195.8</c:v>
                </c:pt>
                <c:pt idx="14">
                  <c:v>0</c:v>
                </c:pt>
                <c:pt idx="16" formatCode="&quot;$&quot;#,##0.00_);[Red]\(&quot;$&quot;#,##0.00\)">
                  <c:v>80.850000000000009</c:v>
                </c:pt>
                <c:pt idx="17" formatCode="&quot;$&quot;#,##0.00_);[Red]\(&quot;$&quot;#,##0.00\)">
                  <c:v>475.65000000000003</c:v>
                </c:pt>
                <c:pt idx="19" formatCode="&quot;$&quot;#,##0.00_);[Red]\(&quot;$&quot;#,##0.00\)">
                  <c:v>3068.625</c:v>
                </c:pt>
                <c:pt idx="20" formatCode="&quot;$&quot;#,##0.00_);[Red]\(&quot;$&quot;#,##0.00\)">
                  <c:v>624.75</c:v>
                </c:pt>
                <c:pt idx="22" formatCode="&quot;$&quot;#,##0.00_);[Red]\(&quot;$&quot;#,##0.00\)">
                  <c:v>3276</c:v>
                </c:pt>
                <c:pt idx="23" formatCode="&quot;$&quot;#,##0.00_);[Red]\(&quot;$&quot;#,##0.00\)">
                  <c:v>3402</c:v>
                </c:pt>
                <c:pt idx="25" formatCode="&quot;$&quot;#,##0.00_);[Red]\(&quot;$&quot;#,##0.00\)">
                  <c:v>1968.75</c:v>
                </c:pt>
                <c:pt idx="27" formatCode="&quot;$&quot;#,##0.00_);[Red]\(&quot;$&quot;#,##0.00\)">
                  <c:v>1937.25</c:v>
                </c:pt>
                <c:pt idx="28" formatCode="&quot;$&quot;#,##0.00_);[Red]\(&quot;$&quot;#,##0.00\)">
                  <c:v>1359.75</c:v>
                </c:pt>
                <c:pt idx="30" formatCode="&quot;$&quot;#,##0.00_);[Red]\(&quot;$&quot;#,##0.00\)">
                  <c:v>1197</c:v>
                </c:pt>
                <c:pt idx="32" formatCode="&quot;$&quot;#,##0.00_);[Red]\(&quot;$&quot;#,##0.00\)">
                  <c:v>4464.6000000000004</c:v>
                </c:pt>
                <c:pt idx="34" formatCode="&quot;$&quot;#,##0.00_);[Red]\(&quot;$&quot;#,##0.00\)">
                  <c:v>3286.5</c:v>
                </c:pt>
                <c:pt idx="35" formatCode="&quot;$&quot;#,##0.00_);[Red]\(&quot;$&quot;#,##0.00\)">
                  <c:v>2551.5</c:v>
                </c:pt>
                <c:pt idx="36" formatCode="&quot;$&quot;#,##0.00_);[Red]\(&quot;$&quot;#,##0.00\)">
                  <c:v>210</c:v>
                </c:pt>
                <c:pt idx="37" formatCode="&quot;$&quot;#,##0.00_);[Red]\(&quot;$&quot;#,##0.00\)">
                  <c:v>1341.375</c:v>
                </c:pt>
                <c:pt idx="38" formatCode="&quot;$&quot;#,##0.00_);[Red]\(&quot;$&quot;#,##0.00\)">
                  <c:v>1837.5</c:v>
                </c:pt>
                <c:pt idx="39" formatCode="&quot;$&quot;#,##0.00_);[Red]\(&quot;$&quot;#,##0.00\)">
                  <c:v>296.10000000000002</c:v>
                </c:pt>
                <c:pt idx="41" formatCode="&quot;$&quot;#,##0.00_);[Red]\(&quot;$&quot;#,##0.00\)">
                  <c:v>3276</c:v>
                </c:pt>
                <c:pt idx="42" formatCode="&quot;$&quot;#,##0.00_);[Red]\(&quot;$&quot;#,##0.00\)">
                  <c:v>1207.5</c:v>
                </c:pt>
                <c:pt idx="43" formatCode="&quot;$&quot;#,##0.00_);[Red]\(&quot;$&quot;#,##0.00\)">
                  <c:v>6363</c:v>
                </c:pt>
                <c:pt idx="44" formatCode="&quot;$&quot;#,##0.00_);[Red]\(&quot;$&quot;#,##0.00\)">
                  <c:v>374.32500000000005</c:v>
                </c:pt>
                <c:pt idx="45" formatCode="&quot;$&quot;#,##0.00_);[Red]\(&quot;$&quot;#,##0.00\)">
                  <c:v>4134.375</c:v>
                </c:pt>
                <c:pt idx="48" formatCode="&quot;$&quot;#,##0.00_);[Red]\(&quot;$&quot;#,##0.00\)">
                  <c:v>819.78750000000002</c:v>
                </c:pt>
                <c:pt idx="49" formatCode="&quot;$&quot;#,##0.00_);[Red]\(&quot;$&quot;#,##0.00\)">
                  <c:v>1953</c:v>
                </c:pt>
                <c:pt idx="51" formatCode="&quot;$&quot;#,##0.00_);[Red]\(&quot;$&quot;#,##0.00\)">
                  <c:v>690.90000000000009</c:v>
                </c:pt>
                <c:pt idx="52" formatCode="&quot;$&quot;#,##0.00_);[Red]\(&quot;$&quot;#,##0.00\)">
                  <c:v>4914</c:v>
                </c:pt>
                <c:pt idx="57" formatCode="&quot;$&quot;#,##0.00_);[Red]\(&quot;$&quot;#,##0.00\)">
                  <c:v>2480.625</c:v>
                </c:pt>
                <c:pt idx="59" formatCode="&quot;$&quot;#,##0.00_);[Red]\(&quot;$&quot;#,##0.00\)">
                  <c:v>1697.85</c:v>
                </c:pt>
                <c:pt idx="61" formatCode="&quot;$&quot;#,##0.00_);[Red]\(&quot;$&quot;#,##0.00\)">
                  <c:v>2417.625</c:v>
                </c:pt>
                <c:pt idx="62" formatCode="&quot;$&quot;#,##0.00_);[Red]\(&quot;$&quot;#,##0.00\)">
                  <c:v>3551.6250000000005</c:v>
                </c:pt>
                <c:pt idx="63" formatCode="&quot;$&quot;#,##0.00_);[Red]\(&quot;$&quot;#,##0.00\)">
                  <c:v>1554.5250000000001</c:v>
                </c:pt>
                <c:pt idx="65" formatCode="&quot;$&quot;#,##0.00_);[Red]\(&quot;$&quot;#,##0.00\)">
                  <c:v>4315.5</c:v>
                </c:pt>
                <c:pt idx="67" formatCode="&quot;$&quot;#,##0.00_);[Red]\(&quot;$&quot;#,##0.00\)">
                  <c:v>1843.0649999999998</c:v>
                </c:pt>
                <c:pt idx="68" formatCode="&quot;$&quot;#,##0.00_);[Red]\(&quot;$&quot;#,##0.00\)">
                  <c:v>2094.75</c:v>
                </c:pt>
                <c:pt idx="69" formatCode="&quot;$&quot;#,##0.00_);[Red]\(&quot;$&quot;#,##0.00\)">
                  <c:v>1433.25</c:v>
                </c:pt>
                <c:pt idx="71" formatCode="&quot;$&quot;#,##0.00_);[Red]\(&quot;$&quot;#,##0.00\)">
                  <c:v>1606.71</c:v>
                </c:pt>
                <c:pt idx="72" formatCode="&quot;$&quot;#,##0.00_);[Red]\(&quot;$&quot;#,##0.00\)">
                  <c:v>1659</c:v>
                </c:pt>
                <c:pt idx="73" formatCode="&quot;$&quot;#,##0.00_);[Red]\(&quot;$&quot;#,##0.00\)">
                  <c:v>3638.25</c:v>
                </c:pt>
                <c:pt idx="75" formatCode="&quot;$&quot;#,##0.00_);[Red]\(&quot;$&quot;#,##0.00\)">
                  <c:v>2164.0499999999997</c:v>
                </c:pt>
                <c:pt idx="76" formatCode="&quot;$&quot;#,##0.00_);[Red]\(&quot;$&quot;#,##0.00\)">
                  <c:v>1671.3899999999999</c:v>
                </c:pt>
                <c:pt idx="77" formatCode="&quot;$&quot;#,##0.00_);[Red]\(&quot;$&quot;#,##0.00\)">
                  <c:v>3093.2999999999997</c:v>
                </c:pt>
                <c:pt idx="78" formatCode="&quot;$&quot;#,##0.00_);[Red]\(&quot;$&quot;#,##0.00\)">
                  <c:v>3042.41</c:v>
                </c:pt>
                <c:pt idx="79" formatCode="&quot;$&quot;#,##0.00_);[Red]\(&quot;$&quot;#,##0.00\)">
                  <c:v>4988.1048000000001</c:v>
                </c:pt>
                <c:pt idx="84" formatCode="&quot;$&quot;#,##0.00_);[Red]\(&quot;$&quot;#,##0.00\)">
                  <c:v>3233.1851999999999</c:v>
                </c:pt>
                <c:pt idx="85" formatCode="&quot;$&quot;#,##0.00_);[Red]\(&quot;$&quot;#,##0.00\)">
                  <c:v>1942.6302000000001</c:v>
                </c:pt>
                <c:pt idx="86" formatCode="&quot;$&quot;#,##0.00_);[Red]\(&quot;$&quot;#,##0.00\)">
                  <c:v>3191.8845000000001</c:v>
                </c:pt>
                <c:pt idx="88" formatCode="&quot;$&quot;#,##0.00_);[Red]\(&quot;$&quot;#,##0.00\)">
                  <c:v>3309.7049999999995</c:v>
                </c:pt>
                <c:pt idx="90" formatCode="&quot;$&quot;#,##0.00_);[Red]\(&quot;$&quot;#,##0.00\)">
                  <c:v>7961.4108000000006</c:v>
                </c:pt>
                <c:pt idx="91" formatCode="&quot;$&quot;#,##0.00_);[Red]\(&quot;$&quot;#,##0.00\)">
                  <c:v>3205.125</c:v>
                </c:pt>
                <c:pt idx="92" formatCode="&quot;$&quot;#,##0.00_);[Red]\(&quot;$&quot;#,##0.00\)">
                  <c:v>2247.0629999999996</c:v>
                </c:pt>
                <c:pt idx="93" formatCode="&quot;$&quot;#,##0.00_);[Red]\(&quot;$&quot;#,##0.00\)">
                  <c:v>388.86959999999999</c:v>
                </c:pt>
                <c:pt idx="94" formatCode="&quot;$&quot;#,##0.00_);[Red]\(&quot;$&quot;#,##0.00\)">
                  <c:v>2109.8027999999999</c:v>
                </c:pt>
                <c:pt idx="96" formatCode="&quot;$&quot;#,##0.00_);[Red]\(&quot;$&quot;#,##0.00\)">
                  <c:v>1995.567</c:v>
                </c:pt>
                <c:pt idx="97" formatCode="&quot;$&quot;#,##0.00_);[Red]\(&quot;$&quot;#,##0.00\)">
                  <c:v>157.98677999999998</c:v>
                </c:pt>
                <c:pt idx="99" formatCode="&quot;$&quot;#,##0.00_);[Red]\(&quot;$&quot;#,##0.00\)">
                  <c:v>958.49333333333334</c:v>
                </c:pt>
                <c:pt idx="100" formatCode="&quot;$&quot;#,##0.00_);[Red]\(&quot;$&quot;#,##0.00\)">
                  <c:v>2034.2424242424242</c:v>
                </c:pt>
                <c:pt idx="101" formatCode="&quot;$&quot;#,##0.00_);[Red]\(&quot;$&quot;#,##0.00\)">
                  <c:v>1174.95</c:v>
                </c:pt>
                <c:pt idx="104" formatCode="&quot;$&quot;#,##0.00_);[Red]\(&quot;$&quot;#,##0.00\)">
                  <c:v>4683.7874999999995</c:v>
                </c:pt>
                <c:pt idx="105" formatCode="&quot;$&quot;#,##0.00_);[Red]\(&quot;$&quot;#,##0.00\)">
                  <c:v>6435.9</c:v>
                </c:pt>
                <c:pt idx="106" formatCode="&quot;$&quot;#,##0.00_);[Red]\(&quot;$&quot;#,##0.00\)">
                  <c:v>218.94</c:v>
                </c:pt>
                <c:pt idx="109" formatCode="&quot;$&quot;#,##0.00_);[Red]\(&quot;$&quot;#,##0.00\)">
                  <c:v>519.84</c:v>
                </c:pt>
                <c:pt idx="110" formatCode="&quot;$&quot;#,##0.00_);[Red]\(&quot;$&quot;#,##0.00\)">
                  <c:v>404.19</c:v>
                </c:pt>
                <c:pt idx="111" formatCode="&quot;$&quot;#,##0.00_);[Red]\(&quot;$&quot;#,##0.00\)">
                  <c:v>0</c:v>
                </c:pt>
                <c:pt idx="112" formatCode="&quot;$&quot;#,##0.00_);[Red]\(&quot;$&quot;#,##0.00\)">
                  <c:v>0</c:v>
                </c:pt>
                <c:pt idx="113" formatCode="&quot;$&quot;#,##0.00_);[Red]\(&quot;$&quot;#,##0.00\)">
                  <c:v>425.25</c:v>
                </c:pt>
                <c:pt idx="114" formatCode="&quot;$&quot;#,##0.00_);[Red]\(&quot;$&quot;#,##0.00\)">
                  <c:v>259.7</c:v>
                </c:pt>
                <c:pt idx="115" formatCode="&quot;$&quot;#,##0.00_);[Red]\(&quot;$&quot;#,##0.00\)">
                  <c:v>246.75</c:v>
                </c:pt>
                <c:pt idx="116" formatCode="&quot;$&quot;#,##0.00_);[Red]\(&quot;$&quot;#,##0.00\)">
                  <c:v>195</c:v>
                </c:pt>
                <c:pt idx="117" formatCode="&quot;$&quot;#,##0.00_);[Red]\(&quot;$&quot;#,##0.00\)">
                  <c:v>91.25</c:v>
                </c:pt>
                <c:pt idx="118" formatCode="&quot;$&quot;#,##0.00_);[Red]\(&quot;$&quot;#,##0.00\)">
                  <c:v>1066.25</c:v>
                </c:pt>
                <c:pt idx="120" formatCode="&quot;$&quot;#,##0.00_);[Red]\(&quot;$&quot;#,##0.00\)">
                  <c:v>410</c:v>
                </c:pt>
                <c:pt idx="121" formatCode="&quot;$&quot;#,##0.00_);[Red]\(&quot;$&quot;#,##0.00\)">
                  <c:v>1466.4</c:v>
                </c:pt>
                <c:pt idx="122" formatCode="&quot;$&quot;#,##0.00_);[Red]\(&quot;$&quot;#,##0.00\)">
                  <c:v>690.25</c:v>
                </c:pt>
                <c:pt idx="123" formatCode="&quot;$&quot;#,##0.00_);[Red]\(&quot;$&quot;#,##0.00\)">
                  <c:v>185.8</c:v>
                </c:pt>
                <c:pt idx="124" formatCode="&quot;$&quot;#,##0.00_);[Red]\(&quot;$&quot;#,##0.00\)">
                  <c:v>12.5</c:v>
                </c:pt>
                <c:pt idx="127" formatCode="&quot;$&quot;#,##0.00_);[Red]\(&quot;$&quot;#,##0.00\)">
                  <c:v>2535.9699999999998</c:v>
                </c:pt>
                <c:pt idx="128" formatCode="&quot;$&quot;#,##0.00_);[Red]\(&quot;$&quot;#,##0.00\)">
                  <c:v>1296.3</c:v>
                </c:pt>
                <c:pt idx="129" formatCode="&quot;$&quot;#,##0.00_);[Red]\(&quot;$&quot;#,##0.00\)">
                  <c:v>553.11279999999999</c:v>
                </c:pt>
                <c:pt idx="130" formatCode="&quot;$&quot;#,##0.00_);[Red]\(&quot;$&quot;#,##0.00\)">
                  <c:v>908.75</c:v>
                </c:pt>
                <c:pt idx="132" formatCode="&quot;$&quot;#,##0.00_);[Red]\(&quot;$&quot;#,##0.00\)">
                  <c:v>2587.25</c:v>
                </c:pt>
                <c:pt idx="133" formatCode="&quot;$&quot;#,##0.00_);[Red]\(&quot;$&quot;#,##0.00\)">
                  <c:v>678.9</c:v>
                </c:pt>
                <c:pt idx="135" formatCode="&quot;$&quot;#,##0.00;[Red]&quot;$&quot;#,##0.00">
                  <c:v>2037.3395565927653</c:v>
                </c:pt>
                <c:pt idx="136" formatCode="&quot;$&quot;#,##0.00;[Red]&quot;$&quot;#,##0.00">
                  <c:v>0</c:v>
                </c:pt>
                <c:pt idx="137" formatCode="&quot;$&quot;#,##0.00;[Red]&quot;$&quot;#,##0.00">
                  <c:v>1243.5119999999999</c:v>
                </c:pt>
                <c:pt idx="138" formatCode="&quot;$&quot;#,##0.00;[Red]&quot;$&quot;#,##0.00">
                  <c:v>0</c:v>
                </c:pt>
                <c:pt idx="139" formatCode="&quot;$&quot;#,##0.00;[Red]&quot;$&quot;#,##0.00">
                  <c:v>280.75</c:v>
                </c:pt>
                <c:pt idx="140" formatCode="&quot;$&quot;#,##0.00;[Red]&quot;$&quot;#,##0.00">
                  <c:v>332.9</c:v>
                </c:pt>
                <c:pt idx="141" formatCode="&quot;$&quot;#,##0.00;[Red]&quot;$&quot;#,##0.00">
                  <c:v>820.08333333333337</c:v>
                </c:pt>
                <c:pt idx="142" formatCode="&quot;$&quot;#,##0.00;[Red]&quot;$&quot;#,##0.00">
                  <c:v>640.20000000000005</c:v>
                </c:pt>
                <c:pt idx="143" formatCode="&quot;$&quot;#,##0.00;[Red]&quot;$&quot;#,##0.00">
                  <c:v>0</c:v>
                </c:pt>
                <c:pt idx="144" formatCode="&quot;$&quot;#,##0.00;[Red]&quot;$&quot;#,##0.00">
                  <c:v>1301.25</c:v>
                </c:pt>
                <c:pt idx="145" formatCode="&quot;$&quot;#,##0.00;[Red]&quot;$&quot;#,##0.00">
                  <c:v>537.20000000000005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09F-8F95-6852B2BAEE59}"/>
            </c:ext>
          </c:extLst>
        </c:ser>
        <c:ser>
          <c:idx val="1"/>
          <c:order val="1"/>
          <c:tx>
            <c:strRef>
              <c:f>STATEMEN!$U$3</c:f>
              <c:strCache>
                <c:ptCount val="1"/>
                <c:pt idx="0">
                  <c:v>Losing Months</c:v>
                </c:pt>
              </c:strCache>
            </c:strRef>
          </c:tx>
          <c:spPr>
            <a:solidFill>
              <a:srgbClr val="FF0000"/>
            </a:solidFill>
            <a:ln w="28575">
              <a:solidFill>
                <a:srgbClr val="FF0000"/>
              </a:solidFill>
            </a:ln>
            <a:effectLst/>
          </c:spPr>
          <c:invertIfNegative val="0"/>
          <c:cat>
            <c:strRef>
              <c:f>STATEMEN!$S$4:$S$149</c:f>
              <c:strCache>
                <c:ptCount val="146"/>
                <c:pt idx="0">
                  <c:v>Ending</c:v>
                </c:pt>
                <c:pt idx="2">
                  <c:v>17-Aug</c:v>
                </c:pt>
                <c:pt idx="3">
                  <c:v>17-Sep</c:v>
                </c:pt>
                <c:pt idx="4">
                  <c:v>17-Oct</c:v>
                </c:pt>
                <c:pt idx="5">
                  <c:v>17-Nov</c:v>
                </c:pt>
                <c:pt idx="6">
                  <c:v>17-Dec</c:v>
                </c:pt>
                <c:pt idx="7">
                  <c:v>17-Jan</c:v>
                </c:pt>
                <c:pt idx="8">
                  <c:v>17-Feb</c:v>
                </c:pt>
                <c:pt idx="9">
                  <c:v>17-Mar</c:v>
                </c:pt>
                <c:pt idx="10">
                  <c:v>17-Apr</c:v>
                </c:pt>
                <c:pt idx="11">
                  <c:v>17-May</c:v>
                </c:pt>
                <c:pt idx="12">
                  <c:v>17-Jun</c:v>
                </c:pt>
                <c:pt idx="13">
                  <c:v>17-Jul</c:v>
                </c:pt>
                <c:pt idx="14">
                  <c:v>17-Aug</c:v>
                </c:pt>
                <c:pt idx="15">
                  <c:v>17-Sep</c:v>
                </c:pt>
                <c:pt idx="16">
                  <c:v>17-Oct</c:v>
                </c:pt>
                <c:pt idx="17">
                  <c:v>17-Nov</c:v>
                </c:pt>
                <c:pt idx="18">
                  <c:v>17-Dec</c:v>
                </c:pt>
                <c:pt idx="19">
                  <c:v>17-Jan</c:v>
                </c:pt>
                <c:pt idx="20">
                  <c:v>17-Feb</c:v>
                </c:pt>
                <c:pt idx="21">
                  <c:v>17-Mar</c:v>
                </c:pt>
                <c:pt idx="22">
                  <c:v>17-Apr</c:v>
                </c:pt>
                <c:pt idx="23">
                  <c:v>17-May</c:v>
                </c:pt>
                <c:pt idx="24">
                  <c:v>17-Jun</c:v>
                </c:pt>
                <c:pt idx="25">
                  <c:v>17-Jul</c:v>
                </c:pt>
                <c:pt idx="26">
                  <c:v>17-Aug</c:v>
                </c:pt>
                <c:pt idx="27">
                  <c:v>17-Sep</c:v>
                </c:pt>
                <c:pt idx="28">
                  <c:v>17-Oct</c:v>
                </c:pt>
                <c:pt idx="29">
                  <c:v>17-Nov</c:v>
                </c:pt>
                <c:pt idx="30">
                  <c:v>17-Dec</c:v>
                </c:pt>
                <c:pt idx="31">
                  <c:v>17-Jan</c:v>
                </c:pt>
                <c:pt idx="32">
                  <c:v>17-Feb</c:v>
                </c:pt>
                <c:pt idx="33">
                  <c:v>17-Mar</c:v>
                </c:pt>
                <c:pt idx="34">
                  <c:v>17-Apr</c:v>
                </c:pt>
                <c:pt idx="35">
                  <c:v>17-May</c:v>
                </c:pt>
                <c:pt idx="36">
                  <c:v>17-Jun</c:v>
                </c:pt>
                <c:pt idx="37">
                  <c:v>17-Jul</c:v>
                </c:pt>
                <c:pt idx="38">
                  <c:v>17-Aug</c:v>
                </c:pt>
                <c:pt idx="39">
                  <c:v>17-Sep</c:v>
                </c:pt>
                <c:pt idx="40">
                  <c:v>17-Oct</c:v>
                </c:pt>
                <c:pt idx="41">
                  <c:v>17-Nov</c:v>
                </c:pt>
                <c:pt idx="42">
                  <c:v>17-Dec</c:v>
                </c:pt>
                <c:pt idx="43">
                  <c:v>17-Jan</c:v>
                </c:pt>
                <c:pt idx="44">
                  <c:v>17-Feb</c:v>
                </c:pt>
                <c:pt idx="45">
                  <c:v>17-Mar</c:v>
                </c:pt>
                <c:pt idx="46">
                  <c:v>17-Apr</c:v>
                </c:pt>
                <c:pt idx="47">
                  <c:v>17-May</c:v>
                </c:pt>
                <c:pt idx="48">
                  <c:v>17-Jun</c:v>
                </c:pt>
                <c:pt idx="49">
                  <c:v>17-Jul</c:v>
                </c:pt>
                <c:pt idx="50">
                  <c:v>17-Aug</c:v>
                </c:pt>
                <c:pt idx="51">
                  <c:v>17-Sep</c:v>
                </c:pt>
                <c:pt idx="52">
                  <c:v>17-Oct</c:v>
                </c:pt>
                <c:pt idx="53">
                  <c:v>17-Nov</c:v>
                </c:pt>
                <c:pt idx="54">
                  <c:v>17-Dec</c:v>
                </c:pt>
                <c:pt idx="55">
                  <c:v>17-Jan</c:v>
                </c:pt>
                <c:pt idx="56">
                  <c:v>17-Feb</c:v>
                </c:pt>
                <c:pt idx="57">
                  <c:v>17-Mar</c:v>
                </c:pt>
                <c:pt idx="58">
                  <c:v>17-Apr</c:v>
                </c:pt>
                <c:pt idx="59">
                  <c:v>17-May</c:v>
                </c:pt>
                <c:pt idx="60">
                  <c:v>17-Jun</c:v>
                </c:pt>
                <c:pt idx="61">
                  <c:v>17-Jul</c:v>
                </c:pt>
                <c:pt idx="62">
                  <c:v>17-Aug</c:v>
                </c:pt>
                <c:pt idx="63">
                  <c:v>17-Sep</c:v>
                </c:pt>
                <c:pt idx="64">
                  <c:v>17-Oct</c:v>
                </c:pt>
                <c:pt idx="65">
                  <c:v>17-Nov</c:v>
                </c:pt>
                <c:pt idx="66">
                  <c:v>17-Dec</c:v>
                </c:pt>
                <c:pt idx="67">
                  <c:v>17-Jan</c:v>
                </c:pt>
                <c:pt idx="68">
                  <c:v>17-Feb</c:v>
                </c:pt>
                <c:pt idx="69">
                  <c:v>17-Mar</c:v>
                </c:pt>
                <c:pt idx="70">
                  <c:v>17-Apr</c:v>
                </c:pt>
                <c:pt idx="71">
                  <c:v>17-May</c:v>
                </c:pt>
                <c:pt idx="72">
                  <c:v>17-Jun</c:v>
                </c:pt>
                <c:pt idx="73">
                  <c:v>17-Jul</c:v>
                </c:pt>
                <c:pt idx="74">
                  <c:v>17-Aug</c:v>
                </c:pt>
                <c:pt idx="75">
                  <c:v>17-Sep</c:v>
                </c:pt>
                <c:pt idx="76">
                  <c:v>17-Oct</c:v>
                </c:pt>
                <c:pt idx="77">
                  <c:v>17-Nov</c:v>
                </c:pt>
                <c:pt idx="78">
                  <c:v>17-Dec</c:v>
                </c:pt>
                <c:pt idx="79">
                  <c:v>18-Jan</c:v>
                </c:pt>
                <c:pt idx="80">
                  <c:v>18-Feb</c:v>
                </c:pt>
                <c:pt idx="81">
                  <c:v>18-Mar</c:v>
                </c:pt>
                <c:pt idx="82">
                  <c:v>18-Apr</c:v>
                </c:pt>
                <c:pt idx="83">
                  <c:v>18-May</c:v>
                </c:pt>
                <c:pt idx="84">
                  <c:v>18-Jun</c:v>
                </c:pt>
                <c:pt idx="85">
                  <c:v>18-Jul</c:v>
                </c:pt>
                <c:pt idx="86">
                  <c:v>18-Aug</c:v>
                </c:pt>
                <c:pt idx="87">
                  <c:v>18-Sep</c:v>
                </c:pt>
                <c:pt idx="88">
                  <c:v>18-Oct</c:v>
                </c:pt>
                <c:pt idx="89">
                  <c:v>18-Nov</c:v>
                </c:pt>
                <c:pt idx="90">
                  <c:v>18-Dec</c:v>
                </c:pt>
                <c:pt idx="91">
                  <c:v>19-Jan</c:v>
                </c:pt>
                <c:pt idx="92">
                  <c:v>19-Feb</c:v>
                </c:pt>
                <c:pt idx="93">
                  <c:v>19-Mar</c:v>
                </c:pt>
                <c:pt idx="94">
                  <c:v>19-Apr</c:v>
                </c:pt>
                <c:pt idx="95">
                  <c:v>19-May</c:v>
                </c:pt>
                <c:pt idx="96">
                  <c:v>19-Jun</c:v>
                </c:pt>
                <c:pt idx="97">
                  <c:v>19-Jul </c:v>
                </c:pt>
                <c:pt idx="98">
                  <c:v>19-Aug</c:v>
                </c:pt>
                <c:pt idx="99">
                  <c:v>19-Sep</c:v>
                </c:pt>
                <c:pt idx="100">
                  <c:v>19-Oct</c:v>
                </c:pt>
                <c:pt idx="101">
                  <c:v>19-Nov</c:v>
                </c:pt>
                <c:pt idx="102">
                  <c:v>19-Dec</c:v>
                </c:pt>
                <c:pt idx="103">
                  <c:v>20-Jan</c:v>
                </c:pt>
                <c:pt idx="104">
                  <c:v>20-Feb</c:v>
                </c:pt>
                <c:pt idx="105">
                  <c:v>20-Mar</c:v>
                </c:pt>
                <c:pt idx="106">
                  <c:v>20-Apr</c:v>
                </c:pt>
                <c:pt idx="107">
                  <c:v>20-May</c:v>
                </c:pt>
                <c:pt idx="108">
                  <c:v>20-Jun</c:v>
                </c:pt>
                <c:pt idx="109">
                  <c:v>20-Jul</c:v>
                </c:pt>
                <c:pt idx="110">
                  <c:v>20-Aug</c:v>
                </c:pt>
                <c:pt idx="111">
                  <c:v>20-Sep</c:v>
                </c:pt>
                <c:pt idx="112">
                  <c:v>20-Oct</c:v>
                </c:pt>
                <c:pt idx="113">
                  <c:v>20-Nov</c:v>
                </c:pt>
                <c:pt idx="114">
                  <c:v>20-Dec</c:v>
                </c:pt>
                <c:pt idx="115">
                  <c:v>21-Jan</c:v>
                </c:pt>
                <c:pt idx="116">
                  <c:v>21-Feb</c:v>
                </c:pt>
                <c:pt idx="117">
                  <c:v>21-Mar</c:v>
                </c:pt>
                <c:pt idx="118">
                  <c:v>21-Apr</c:v>
                </c:pt>
                <c:pt idx="119">
                  <c:v>21-May</c:v>
                </c:pt>
                <c:pt idx="120">
                  <c:v>21-Jun</c:v>
                </c:pt>
                <c:pt idx="121">
                  <c:v>21-Jul</c:v>
                </c:pt>
                <c:pt idx="122">
                  <c:v>21-Aug</c:v>
                </c:pt>
                <c:pt idx="123">
                  <c:v>21-Sep</c:v>
                </c:pt>
                <c:pt idx="124">
                  <c:v>21-Oct</c:v>
                </c:pt>
                <c:pt idx="125">
                  <c:v>21-Nov</c:v>
                </c:pt>
                <c:pt idx="126">
                  <c:v>21-Dec</c:v>
                </c:pt>
                <c:pt idx="127">
                  <c:v>22-Jan</c:v>
                </c:pt>
                <c:pt idx="128">
                  <c:v>22-Feb</c:v>
                </c:pt>
                <c:pt idx="129">
                  <c:v>22-Mar</c:v>
                </c:pt>
                <c:pt idx="130">
                  <c:v>22-Apr</c:v>
                </c:pt>
                <c:pt idx="131">
                  <c:v>22-May</c:v>
                </c:pt>
                <c:pt idx="132">
                  <c:v>22-Jun</c:v>
                </c:pt>
                <c:pt idx="133">
                  <c:v>22-Jul</c:v>
                </c:pt>
                <c:pt idx="134">
                  <c:v>22-Aug</c:v>
                </c:pt>
                <c:pt idx="135">
                  <c:v>22-Sep</c:v>
                </c:pt>
                <c:pt idx="136">
                  <c:v>22-Oct</c:v>
                </c:pt>
                <c:pt idx="137">
                  <c:v>22-Nov</c:v>
                </c:pt>
                <c:pt idx="138">
                  <c:v>22-Dec</c:v>
                </c:pt>
                <c:pt idx="139">
                  <c:v>23-Jan</c:v>
                </c:pt>
                <c:pt idx="140">
                  <c:v>23-Feb</c:v>
                </c:pt>
                <c:pt idx="141">
                  <c:v>23-Mar</c:v>
                </c:pt>
                <c:pt idx="142">
                  <c:v>23-Apr</c:v>
                </c:pt>
                <c:pt idx="143">
                  <c:v>23-May</c:v>
                </c:pt>
                <c:pt idx="144">
                  <c:v>23-Jun</c:v>
                </c:pt>
                <c:pt idx="145">
                  <c:v>23-Jul</c:v>
                </c:pt>
              </c:strCache>
            </c:strRef>
          </c:cat>
          <c:val>
            <c:numRef>
              <c:f>STATEMEN!$U$4:$U$149</c:f>
              <c:numCache>
                <c:formatCode>General</c:formatCode>
                <c:ptCount val="146"/>
                <c:pt idx="2" formatCode="&quot;$&quot;#,##0.00_);[Red]\(&quot;$&quot;#,##0.00\)">
                  <c:v>-3867.9375</c:v>
                </c:pt>
                <c:pt idx="10" formatCode="&quot;$&quot;#,##0.00_);[Red]\(&quot;$&quot;#,##0.00\)">
                  <c:v>-3766.875</c:v>
                </c:pt>
                <c:pt idx="11" formatCode="&quot;$&quot;#,##0.00_);[Red]\(&quot;$&quot;#,##0.00\)">
                  <c:v>-2290.75</c:v>
                </c:pt>
                <c:pt idx="14" formatCode="&quot;$&quot;#,##0.00_);[Red]\(&quot;$&quot;#,##0.00\)">
                  <c:v>-1984.5</c:v>
                </c:pt>
                <c:pt idx="15" formatCode="&quot;$&quot;#,##0.00_);[Red]\(&quot;$&quot;#,##0.00\)">
                  <c:v>-3117.625</c:v>
                </c:pt>
                <c:pt idx="18" formatCode="&quot;$&quot;#,##0.00_);[Red]\(&quot;$&quot;#,##0.00\)">
                  <c:v>-48.387500000000003</c:v>
                </c:pt>
                <c:pt idx="21" formatCode="&quot;$&quot;#,##0.00_);[Red]\(&quot;$&quot;#,##0.00\)">
                  <c:v>-2555.5949999999998</c:v>
                </c:pt>
                <c:pt idx="24" formatCode="&quot;$&quot;#,##0.00_);[Red]\(&quot;$&quot;#,##0.00\)">
                  <c:v>-1739.5</c:v>
                </c:pt>
                <c:pt idx="26" formatCode="&quot;$&quot;#,##0.00_);[Red]\(&quot;$&quot;#,##0.00\)">
                  <c:v>-1329.125</c:v>
                </c:pt>
                <c:pt idx="29" formatCode="&quot;$&quot;#,##0.00_);[Red]\(&quot;$&quot;#,##0.00\)">
                  <c:v>-2480.625</c:v>
                </c:pt>
                <c:pt idx="31" formatCode="&quot;$&quot;#,##0.00_);[Red]\(&quot;$&quot;#,##0.00\)">
                  <c:v>-1249.5</c:v>
                </c:pt>
                <c:pt idx="33" formatCode="&quot;$&quot;#,##0.00_);[Red]\(&quot;$&quot;#,##0.00\)">
                  <c:v>-826.875</c:v>
                </c:pt>
                <c:pt idx="40" formatCode="&quot;$&quot;#,##0.00_);[Red]\(&quot;$&quot;#,##0.00\)">
                  <c:v>-1371.825</c:v>
                </c:pt>
                <c:pt idx="46" formatCode="&quot;$&quot;#,##0.00_);[Red]\(&quot;$&quot;#,##0.00\)">
                  <c:v>-1704.28125</c:v>
                </c:pt>
                <c:pt idx="47" formatCode="&quot;$&quot;#,##0.00_);[Red]\(&quot;$&quot;#,##0.00\)">
                  <c:v>-250.81875000000002</c:v>
                </c:pt>
                <c:pt idx="50" formatCode="&quot;$&quot;#,##0.00_);[Red]\(&quot;$&quot;#,##0.00\)">
                  <c:v>-2269.3125</c:v>
                </c:pt>
                <c:pt idx="53" formatCode="&quot;$&quot;#,##0.00_);[Red]\(&quot;$&quot;#,##0.00\)">
                  <c:v>-2291.625</c:v>
                </c:pt>
                <c:pt idx="54" formatCode="&quot;$&quot;#,##0.00_);[Red]\(&quot;$&quot;#,##0.00\)">
                  <c:v>-42</c:v>
                </c:pt>
                <c:pt idx="55" formatCode="&quot;$&quot;#,##0.00_);[Red]\(&quot;$&quot;#,##0.00\)">
                  <c:v>-850.5</c:v>
                </c:pt>
                <c:pt idx="56" formatCode="&quot;$&quot;#,##0.00_);[Red]\(&quot;$&quot;#,##0.00\)">
                  <c:v>-2017.5749999999998</c:v>
                </c:pt>
                <c:pt idx="58" formatCode="&quot;$&quot;#,##0.00_);[Red]\(&quot;$&quot;#,##0.00\)">
                  <c:v>-1354.5</c:v>
                </c:pt>
                <c:pt idx="60" formatCode="&quot;$&quot;#,##0.00_);[Red]\(&quot;$&quot;#,##0.00\)">
                  <c:v>-984.90000000000009</c:v>
                </c:pt>
                <c:pt idx="64" formatCode="&quot;$&quot;#,##0.00_);[Red]\(&quot;$&quot;#,##0.00\)">
                  <c:v>-1130.0625</c:v>
                </c:pt>
                <c:pt idx="66" formatCode="&quot;$&quot;#,##0.00_);[Red]\(&quot;$&quot;#,##0.00\)">
                  <c:v>-504</c:v>
                </c:pt>
                <c:pt idx="70" formatCode="&quot;$&quot;#,##0.00_);[Red]\(&quot;$&quot;#,##0.00\)">
                  <c:v>-1496.7224999999999</c:v>
                </c:pt>
                <c:pt idx="74" formatCode="&quot;$&quot;#,##0.00_);[Red]\(&quot;$&quot;#,##0.00\)">
                  <c:v>-1690.5</c:v>
                </c:pt>
                <c:pt idx="80" formatCode="&quot;$&quot;#,##0.00_);[Red]\(&quot;$&quot;#,##0.00\)">
                  <c:v>-1929.5954999999999</c:v>
                </c:pt>
                <c:pt idx="81" formatCode="&quot;$&quot;#,##0.00_);[Red]\(&quot;$&quot;#,##0.00\)">
                  <c:v>-596.23199999999997</c:v>
                </c:pt>
                <c:pt idx="82" formatCode="&quot;$&quot;#,##0.00_);[Red]\(&quot;$&quot;#,##0.00\)">
                  <c:v>-2021.25</c:v>
                </c:pt>
                <c:pt idx="83" formatCode="&quot;$&quot;#,##0.00_);[Red]\(&quot;$&quot;#,##0.00\)">
                  <c:v>-1100.05</c:v>
                </c:pt>
                <c:pt idx="87" formatCode="&quot;$&quot;#,##0.00_);[Red]\(&quot;$&quot;#,##0.00\)">
                  <c:v>-1587.3255999999999</c:v>
                </c:pt>
                <c:pt idx="89" formatCode="&quot;$&quot;#,##0.00_);[Red]\(&quot;$&quot;#,##0.00\)">
                  <c:v>-1961.2739999999997</c:v>
                </c:pt>
                <c:pt idx="95" formatCode="&quot;$&quot;#,##0.00_);[Red]\(&quot;$&quot;#,##0.00\)">
                  <c:v>-2625.7392</c:v>
                </c:pt>
                <c:pt idx="98" formatCode="&quot;$&quot;#,##0.00_);[Red]\(&quot;$&quot;#,##0.00\)">
                  <c:v>-242.18</c:v>
                </c:pt>
                <c:pt idx="103" formatCode="&quot;$&quot;#,##0.00_);[Red]\(&quot;$&quot;#,##0.00\)">
                  <c:v>-615.29999999999995</c:v>
                </c:pt>
                <c:pt idx="107" formatCode="&quot;$&quot;#,##0.00_);[Red]\(&quot;$&quot;#,##0.00\)">
                  <c:v>-1424.63</c:v>
                </c:pt>
                <c:pt idx="108" formatCode="&quot;$&quot;#,##0.00_);[Red]\(&quot;$&quot;#,##0.00\)">
                  <c:v>-1305.28</c:v>
                </c:pt>
                <c:pt idx="119" formatCode="&quot;$&quot;#,##0.00_);[Red]\(&quot;$&quot;#,##0.00\)">
                  <c:v>-375.25</c:v>
                </c:pt>
                <c:pt idx="125" formatCode="&quot;$&quot;#,##0.00_);[Red]\(&quot;$&quot;#,##0.00\)">
                  <c:v>-178.75</c:v>
                </c:pt>
                <c:pt idx="126" formatCode="&quot;$&quot;#,##0.00_);[Red]\(&quot;$&quot;#,##0.00\)">
                  <c:v>-970.25</c:v>
                </c:pt>
                <c:pt idx="131" formatCode="&quot;$&quot;#,##0.00_);[Red]\(&quot;$&quot;#,##0.00\)">
                  <c:v>-211.57</c:v>
                </c:pt>
                <c:pt idx="134" formatCode="&quot;$&quot;#,##0.00_);[Red]\(&quot;$&quot;#,##0.00\)">
                  <c:v>-41.2</c:v>
                </c:pt>
                <c:pt idx="135" formatCode="&quot;$&quot;#,##0.00_);[Red]\(&quot;$&quot;#,##0.00\)">
                  <c:v>0</c:v>
                </c:pt>
                <c:pt idx="136" formatCode="&quot;$&quot;#,##0.00_);[Red]\(&quot;$&quot;#,##0.00\)">
                  <c:v>-1139.82</c:v>
                </c:pt>
                <c:pt idx="137" formatCode="&quot;$&quot;#,##0.00_);[Red]\(&quot;$&quot;#,##0.00\)">
                  <c:v>0</c:v>
                </c:pt>
                <c:pt idx="138" formatCode="&quot;$&quot;#,##0.00_);[Red]\(&quot;$&quot;#,##0.00\)">
                  <c:v>-634.61199999999997</c:v>
                </c:pt>
                <c:pt idx="139" formatCode="&quot;$&quot;#,##0.00_);[Red]\(&quot;$&quot;#,##0.00\)">
                  <c:v>0</c:v>
                </c:pt>
                <c:pt idx="140" formatCode="&quot;$&quot;#,##0.00_);[Red]\(&quot;$&quot;#,##0.00\)">
                  <c:v>0</c:v>
                </c:pt>
                <c:pt idx="141" formatCode="&quot;$&quot;#,##0.00_);[Red]\(&quot;$&quot;#,##0.00\)">
                  <c:v>0</c:v>
                </c:pt>
                <c:pt idx="142" formatCode="&quot;$&quot;#,##0.00_);[Red]\(&quot;$&quot;#,##0.00\)">
                  <c:v>0</c:v>
                </c:pt>
                <c:pt idx="143" formatCode="&quot;$&quot;#,##0.00_);[Red]\(&quot;$&quot;#,##0.00\)">
                  <c:v>-463.14285714285717</c:v>
                </c:pt>
                <c:pt idx="144" formatCode="&quot;$&quot;#,##0.00_);[Red]\(&quot;$&quot;#,##0.00\)">
                  <c:v>0</c:v>
                </c:pt>
                <c:pt idx="145" formatCode="&quot;$&quot;#,##0.00_);[Red]\(&quot;$&quot;#,##0.0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B-409F-8F95-6852B2BAE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988000"/>
        <c:axId val="627984392"/>
      </c:barChart>
      <c:catAx>
        <c:axId val="627988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7984392"/>
        <c:crosses val="autoZero"/>
        <c:auto val="1"/>
        <c:lblAlgn val="ctr"/>
        <c:lblOffset val="100"/>
        <c:noMultiLvlLbl val="0"/>
      </c:catAx>
      <c:valAx>
        <c:axId val="627984392"/>
        <c:scaling>
          <c:orientation val="minMax"/>
          <c:max val="7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;[Red]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88000"/>
        <c:crosses val="autoZero"/>
        <c:crossBetween val="between"/>
        <c:majorUnit val="2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9580052493438"/>
          <c:y val="0.79121860617354678"/>
          <c:w val="0.30780839895013123"/>
          <c:h val="0.14995777359545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24342</xdr:colOff>
      <xdr:row>154</xdr:row>
      <xdr:rowOff>165101</xdr:rowOff>
    </xdr:from>
    <xdr:to>
      <xdr:col>24</xdr:col>
      <xdr:colOff>279400</xdr:colOff>
      <xdr:row>176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9510DA-6B40-455B-807F-330C8CD7F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15874</xdr:colOff>
      <xdr:row>176</xdr:row>
      <xdr:rowOff>114300</xdr:rowOff>
    </xdr:from>
    <xdr:to>
      <xdr:col>24</xdr:col>
      <xdr:colOff>292100</xdr:colOff>
      <xdr:row>186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9A30B7-DB94-493C-B2AE-C4F90D4EB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34</xdr:col>
      <xdr:colOff>347133</xdr:colOff>
      <xdr:row>139</xdr:row>
      <xdr:rowOff>141816</xdr:rowOff>
    </xdr:from>
    <xdr:to>
      <xdr:col>44</xdr:col>
      <xdr:colOff>605366</xdr:colOff>
      <xdr:row>161</xdr:row>
      <xdr:rowOff>137582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C544D0-2438-48FD-A142-B964E37C7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5658" y="33155466"/>
          <a:ext cx="6354233" cy="5234516"/>
        </a:xfrm>
        <a:prstGeom prst="rect">
          <a:avLst/>
        </a:prstGeom>
      </xdr:spPr>
    </xdr:pic>
    <xdr:clientData/>
  </xdr:twoCellAnchor>
  <xdr:oneCellAnchor>
    <xdr:from>
      <xdr:col>16</xdr:col>
      <xdr:colOff>800100</xdr:colOff>
      <xdr:row>155</xdr:row>
      <xdr:rowOff>165101</xdr:rowOff>
    </xdr:from>
    <xdr:ext cx="7734300" cy="9651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513A3C-FCD0-4448-B226-700303E57A3F}"/>
            </a:ext>
          </a:extLst>
        </xdr:cNvPr>
        <xdr:cNvSpPr txBox="1"/>
      </xdr:nvSpPr>
      <xdr:spPr>
        <a:xfrm>
          <a:off x="12522200" y="35788601"/>
          <a:ext cx="7734300" cy="9651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Peter Knight Advisor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terknightadvisor.com/2019/08/06/sp-micro-no-collars-trades-cfds-or-mes-futu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98"/>
  <sheetViews>
    <sheetView tabSelected="1" zoomScale="75" zoomScaleNormal="75" workbookViewId="0">
      <selection activeCell="L195" sqref="L195"/>
    </sheetView>
  </sheetViews>
  <sheetFormatPr defaultRowHeight="15.75" x14ac:dyDescent="0.25"/>
  <cols>
    <col min="1" max="1" width="14.42578125" customWidth="1"/>
    <col min="2" max="2" width="14.42578125" style="17" customWidth="1"/>
    <col min="3" max="4" width="14.42578125" style="17" hidden="1" customWidth="1"/>
    <col min="5" max="5" width="10.42578125" hidden="1" customWidth="1"/>
    <col min="6" max="6" width="13.140625" style="3" customWidth="1"/>
    <col min="7" max="7" width="18.28515625" style="3" customWidth="1"/>
    <col min="8" max="8" width="17.42578125" style="3" customWidth="1"/>
    <col min="9" max="9" width="17.28515625" style="3" customWidth="1"/>
    <col min="10" max="10" width="19.7109375" style="19" hidden="1" customWidth="1"/>
    <col min="11" max="11" width="20.7109375" style="35" hidden="1" customWidth="1"/>
    <col min="12" max="12" width="20.7109375" style="41" customWidth="1"/>
    <col min="13" max="13" width="20.7109375" style="3" customWidth="1"/>
    <col min="14" max="14" width="12.5703125" style="3" customWidth="1"/>
    <col min="15" max="15" width="7.85546875" style="29" customWidth="1"/>
    <col min="16" max="16" width="18.7109375" style="29" customWidth="1"/>
    <col min="17" max="17" width="16.42578125" style="92" customWidth="1"/>
    <col min="18" max="18" width="25" style="55" customWidth="1"/>
    <col min="19" max="19" width="16.42578125" style="92" customWidth="1"/>
    <col min="20" max="20" width="13.5703125" style="29" customWidth="1"/>
    <col min="21" max="21" width="17" style="29" customWidth="1"/>
    <col min="22" max="22" width="20.7109375" style="51" customWidth="1"/>
  </cols>
  <sheetData>
    <row r="2" spans="1:22" x14ac:dyDescent="0.25">
      <c r="B2" s="18"/>
      <c r="C2" s="18"/>
      <c r="D2" s="18"/>
      <c r="V2" s="49"/>
    </row>
    <row r="3" spans="1:22" ht="18.75" x14ac:dyDescent="0.3">
      <c r="B3" s="18"/>
      <c r="C3" s="18"/>
      <c r="D3" s="18"/>
      <c r="F3" s="63" t="s">
        <v>0</v>
      </c>
      <c r="G3" s="63" t="s">
        <v>1</v>
      </c>
      <c r="H3" s="63"/>
      <c r="I3" s="63" t="s">
        <v>2</v>
      </c>
      <c r="J3" s="64" t="s">
        <v>3</v>
      </c>
      <c r="K3" s="65" t="s">
        <v>3</v>
      </c>
      <c r="L3" s="63" t="s">
        <v>3</v>
      </c>
      <c r="M3" s="63" t="s">
        <v>53</v>
      </c>
      <c r="N3" s="63" t="s">
        <v>5</v>
      </c>
      <c r="O3" s="59"/>
      <c r="P3" s="59"/>
      <c r="Q3" s="93" t="s">
        <v>0</v>
      </c>
      <c r="R3" s="104" t="s">
        <v>39</v>
      </c>
      <c r="S3" s="93" t="s">
        <v>0</v>
      </c>
      <c r="T3" s="102" t="s">
        <v>56</v>
      </c>
      <c r="U3" s="102" t="s">
        <v>38</v>
      </c>
      <c r="V3" s="103" t="s">
        <v>12</v>
      </c>
    </row>
    <row r="4" spans="1:22" ht="18.75" x14ac:dyDescent="0.3">
      <c r="A4" t="s">
        <v>24</v>
      </c>
      <c r="B4" s="18">
        <v>12500</v>
      </c>
      <c r="C4" s="18"/>
      <c r="D4" s="18"/>
      <c r="F4" s="63" t="s">
        <v>4</v>
      </c>
      <c r="G4" s="63" t="s">
        <v>6</v>
      </c>
      <c r="H4" s="63" t="s">
        <v>7</v>
      </c>
      <c r="I4" s="63" t="s">
        <v>8</v>
      </c>
      <c r="J4" s="64" t="s">
        <v>9</v>
      </c>
      <c r="K4" s="65" t="s">
        <v>9</v>
      </c>
      <c r="L4" s="63" t="s">
        <v>9</v>
      </c>
      <c r="M4" s="63" t="s">
        <v>6</v>
      </c>
      <c r="N4" s="63" t="s">
        <v>10</v>
      </c>
      <c r="O4" s="59"/>
      <c r="P4" s="59"/>
      <c r="Q4" s="93" t="s">
        <v>4</v>
      </c>
      <c r="R4" s="104"/>
      <c r="S4" s="93" t="s">
        <v>4</v>
      </c>
      <c r="T4" s="102"/>
      <c r="U4" s="102"/>
      <c r="V4" s="103"/>
    </row>
    <row r="5" spans="1:22" ht="18" customHeight="1" x14ac:dyDescent="0.3">
      <c r="A5" t="s">
        <v>40</v>
      </c>
      <c r="B5" s="18">
        <v>0.42</v>
      </c>
      <c r="C5" s="30"/>
      <c r="D5" t="s">
        <v>57</v>
      </c>
      <c r="E5" s="17">
        <v>1</v>
      </c>
      <c r="F5" s="88"/>
      <c r="G5" s="88"/>
      <c r="H5" s="88"/>
      <c r="I5" s="88"/>
      <c r="J5" s="64"/>
      <c r="K5" s="65"/>
      <c r="L5" s="88"/>
      <c r="M5" s="88"/>
      <c r="N5" s="88"/>
      <c r="O5" s="59"/>
      <c r="P5" s="59"/>
      <c r="Q5" s="93"/>
      <c r="S5" s="93"/>
    </row>
    <row r="6" spans="1:22" ht="18.75" x14ac:dyDescent="0.3">
      <c r="A6" t="s">
        <v>41</v>
      </c>
      <c r="B6" s="18">
        <v>0.49</v>
      </c>
      <c r="C6" s="31"/>
      <c r="D6" t="s">
        <v>49</v>
      </c>
      <c r="E6" s="17">
        <v>0.9</v>
      </c>
      <c r="F6" s="66">
        <v>42958</v>
      </c>
      <c r="G6" s="67">
        <v>0</v>
      </c>
      <c r="H6" s="96">
        <f>B4</f>
        <v>12500</v>
      </c>
      <c r="I6" s="67">
        <v>0</v>
      </c>
      <c r="J6" s="68">
        <v>-7893.75</v>
      </c>
      <c r="K6" s="67">
        <f>J6*B6</f>
        <v>-3867.9375</v>
      </c>
      <c r="L6" s="69">
        <f>K6*E5</f>
        <v>-3867.9375</v>
      </c>
      <c r="M6" s="67">
        <f>H6+L6</f>
        <v>8632.0625</v>
      </c>
      <c r="N6" s="70">
        <f>L6/H6</f>
        <v>-0.30943500000000002</v>
      </c>
      <c r="O6" s="59"/>
      <c r="P6" s="59"/>
      <c r="Q6" s="94">
        <v>42958</v>
      </c>
      <c r="R6" s="55">
        <f>V6</f>
        <v>-3867.9375</v>
      </c>
      <c r="S6" s="94">
        <v>42958</v>
      </c>
      <c r="U6" s="54">
        <f>V6</f>
        <v>-3867.9375</v>
      </c>
      <c r="V6" s="50">
        <f>L6</f>
        <v>-3867.9375</v>
      </c>
    </row>
    <row r="7" spans="1:22" ht="18.75" x14ac:dyDescent="0.3">
      <c r="B7" s="18"/>
      <c r="C7" s="18"/>
      <c r="D7" t="s">
        <v>58</v>
      </c>
      <c r="E7" s="17">
        <v>0.4</v>
      </c>
      <c r="F7" s="66">
        <v>42989</v>
      </c>
      <c r="G7" s="67">
        <f>M6</f>
        <v>8632.0625</v>
      </c>
      <c r="H7" s="67">
        <v>0</v>
      </c>
      <c r="I7" s="67">
        <v>0</v>
      </c>
      <c r="J7" s="71">
        <v>3287.5</v>
      </c>
      <c r="K7" s="67">
        <f>J7*B5</f>
        <v>1380.75</v>
      </c>
      <c r="L7" s="69">
        <f>K7*E6</f>
        <v>1242.675</v>
      </c>
      <c r="M7" s="67">
        <f>G7+L7</f>
        <v>9874.7374999999993</v>
      </c>
      <c r="N7" s="70">
        <f>L7/G7</f>
        <v>0.143960380268331</v>
      </c>
      <c r="Q7" s="94">
        <v>42989</v>
      </c>
      <c r="R7" s="55">
        <f>V7+R6</f>
        <v>-2625.2624999999998</v>
      </c>
      <c r="S7" s="94">
        <v>42989</v>
      </c>
      <c r="T7" s="54">
        <f t="shared" ref="T7:T13" si="0">V7</f>
        <v>1242.675</v>
      </c>
      <c r="V7" s="50">
        <f>L7</f>
        <v>1242.675</v>
      </c>
    </row>
    <row r="8" spans="1:22" ht="18.75" x14ac:dyDescent="0.3">
      <c r="A8" s="33" t="s">
        <v>54</v>
      </c>
      <c r="B8" s="52" t="str">
        <f>G196</f>
        <v>Total</v>
      </c>
      <c r="C8" s="18"/>
      <c r="D8" t="s">
        <v>50</v>
      </c>
      <c r="E8" s="17">
        <v>0.3</v>
      </c>
      <c r="F8" s="66">
        <v>43019</v>
      </c>
      <c r="G8" s="67">
        <f>M7</f>
        <v>9874.7374999999993</v>
      </c>
      <c r="H8" s="67">
        <v>0</v>
      </c>
      <c r="I8" s="67">
        <v>0</v>
      </c>
      <c r="J8" s="71">
        <v>13443.75</v>
      </c>
      <c r="K8" s="67">
        <f>J8*B5</f>
        <v>5646.375</v>
      </c>
      <c r="L8" s="69">
        <f>K8*E7</f>
        <v>2258.5500000000002</v>
      </c>
      <c r="M8" s="67">
        <f>G8+L8</f>
        <v>12133.287499999999</v>
      </c>
      <c r="N8" s="70">
        <f>L8/G8</f>
        <v>0.22872000394947212</v>
      </c>
      <c r="Q8" s="94">
        <v>43019</v>
      </c>
      <c r="R8" s="55">
        <f>V8+R7</f>
        <v>-366.71249999999964</v>
      </c>
      <c r="S8" s="94">
        <v>43019</v>
      </c>
      <c r="T8" s="54">
        <f t="shared" si="0"/>
        <v>2258.5500000000002</v>
      </c>
      <c r="V8" s="50">
        <f>L8</f>
        <v>2258.5500000000002</v>
      </c>
    </row>
    <row r="9" spans="1:22" ht="18.75" x14ac:dyDescent="0.3">
      <c r="A9" s="33" t="s">
        <v>12</v>
      </c>
      <c r="B9" s="52">
        <f>F197</f>
        <v>147</v>
      </c>
      <c r="C9" s="18"/>
      <c r="D9" s="18" t="s">
        <v>52</v>
      </c>
      <c r="E9" s="17">
        <v>0.5</v>
      </c>
      <c r="F9" s="66">
        <v>43050</v>
      </c>
      <c r="G9" s="67">
        <f>M8</f>
        <v>12133.287499999999</v>
      </c>
      <c r="H9" s="67">
        <v>0</v>
      </c>
      <c r="I9" s="67">
        <v>0</v>
      </c>
      <c r="J9" s="71">
        <v>6137.5</v>
      </c>
      <c r="K9" s="67">
        <f>J9*B5</f>
        <v>2577.75</v>
      </c>
      <c r="L9" s="69">
        <f>K9*E8</f>
        <v>773.32499999999993</v>
      </c>
      <c r="M9" s="67">
        <f>G9+L9</f>
        <v>12906.612499999999</v>
      </c>
      <c r="N9" s="70">
        <f>L9/G9</f>
        <v>6.3735817683377244E-2</v>
      </c>
      <c r="Q9" s="94">
        <v>43050</v>
      </c>
      <c r="R9" s="55">
        <f>V9+R8</f>
        <v>406.6125000000003</v>
      </c>
      <c r="S9" s="94">
        <v>43050</v>
      </c>
      <c r="T9" s="54">
        <f t="shared" si="0"/>
        <v>773.32499999999993</v>
      </c>
      <c r="V9" s="50">
        <f>L9</f>
        <v>773.32499999999993</v>
      </c>
    </row>
    <row r="10" spans="1:22" ht="18.75" x14ac:dyDescent="0.3">
      <c r="A10" s="34" t="s">
        <v>27</v>
      </c>
      <c r="B10" s="52" t="e">
        <f>B8/B9</f>
        <v>#VALUE!</v>
      </c>
      <c r="C10" s="18"/>
      <c r="D10" s="18"/>
      <c r="F10" s="66">
        <v>43080</v>
      </c>
      <c r="G10" s="67">
        <f>M9</f>
        <v>12906.612499999999</v>
      </c>
      <c r="H10" s="67">
        <v>0</v>
      </c>
      <c r="I10" s="67">
        <v>0</v>
      </c>
      <c r="J10" s="71">
        <v>5568.75</v>
      </c>
      <c r="K10" s="67">
        <f>J10*B5</f>
        <v>2338.875</v>
      </c>
      <c r="L10" s="69">
        <f>K10*E9</f>
        <v>1169.4375</v>
      </c>
      <c r="M10" s="67">
        <f>G10+L10</f>
        <v>14076.05</v>
      </c>
      <c r="N10" s="70">
        <f>L10/G10</f>
        <v>9.0607624580036017E-2</v>
      </c>
      <c r="Q10" s="94">
        <v>43080</v>
      </c>
      <c r="R10" s="55">
        <f>V10+R9</f>
        <v>1576.0500000000002</v>
      </c>
      <c r="S10" s="94">
        <v>43080</v>
      </c>
      <c r="T10" s="54">
        <f t="shared" si="0"/>
        <v>1169.4375</v>
      </c>
      <c r="V10" s="50">
        <f>L10</f>
        <v>1169.4375</v>
      </c>
    </row>
    <row r="11" spans="1:22" ht="18.75" x14ac:dyDescent="0.3">
      <c r="A11" s="34" t="s">
        <v>28</v>
      </c>
      <c r="B11" s="52" t="e">
        <f>B10*12</f>
        <v>#VALUE!</v>
      </c>
      <c r="C11" s="18"/>
      <c r="D11" s="18"/>
      <c r="F11" s="72"/>
      <c r="G11" s="72"/>
      <c r="H11" s="72"/>
      <c r="I11" s="72"/>
      <c r="J11" s="73" t="s">
        <v>11</v>
      </c>
      <c r="K11" s="72" t="s">
        <v>11</v>
      </c>
      <c r="L11" s="72" t="s">
        <v>11</v>
      </c>
      <c r="M11" s="74"/>
      <c r="N11" s="72" t="s">
        <v>11</v>
      </c>
      <c r="Q11" s="94">
        <v>42747</v>
      </c>
      <c r="R11" s="55">
        <f>V11+R10</f>
        <v>4947.6000000000004</v>
      </c>
      <c r="S11" s="94">
        <v>42747</v>
      </c>
      <c r="T11" s="54">
        <f t="shared" si="0"/>
        <v>3371.5499999999997</v>
      </c>
      <c r="V11" s="50">
        <f t="shared" ref="V11:V22" si="1">L14</f>
        <v>3371.5499999999997</v>
      </c>
    </row>
    <row r="12" spans="1:22" ht="18.75" x14ac:dyDescent="0.3">
      <c r="A12" s="34" t="s">
        <v>30</v>
      </c>
      <c r="B12" s="52">
        <f>B4</f>
        <v>12500</v>
      </c>
      <c r="C12" s="18"/>
      <c r="D12" s="18"/>
      <c r="F12" s="72"/>
      <c r="G12" s="72"/>
      <c r="H12" s="72"/>
      <c r="I12" s="72"/>
      <c r="J12" s="75">
        <v>23325</v>
      </c>
      <c r="K12" s="67">
        <f>SUM(K6:K11)</f>
        <v>8075.8125</v>
      </c>
      <c r="L12" s="76">
        <f>SUM(L6:L11)</f>
        <v>1576.0500000000002</v>
      </c>
      <c r="M12" s="77"/>
      <c r="N12" s="78">
        <f>L12/H6</f>
        <v>0.126084</v>
      </c>
      <c r="P12" s="54">
        <f>L12</f>
        <v>1576.0500000000002</v>
      </c>
      <c r="Q12" s="94">
        <v>42778</v>
      </c>
      <c r="R12" s="55">
        <f t="shared" ref="R12:R22" si="2">R11+V12</f>
        <v>7544.7749999999996</v>
      </c>
      <c r="S12" s="94">
        <v>42778</v>
      </c>
      <c r="T12" s="54">
        <f t="shared" si="0"/>
        <v>2597.1749999999997</v>
      </c>
      <c r="V12" s="50">
        <f t="shared" si="1"/>
        <v>2597.1749999999997</v>
      </c>
    </row>
    <row r="13" spans="1:22" ht="18.75" x14ac:dyDescent="0.3">
      <c r="A13" s="34" t="s">
        <v>29</v>
      </c>
      <c r="B13" s="53" t="e">
        <f>B11/B12</f>
        <v>#VALUE!</v>
      </c>
      <c r="C13" s="18"/>
      <c r="D13" t="s">
        <v>42</v>
      </c>
      <c r="E13" s="17">
        <v>1.9</v>
      </c>
      <c r="F13" s="72"/>
      <c r="G13" s="72"/>
      <c r="H13" s="72"/>
      <c r="I13" s="72"/>
      <c r="J13" s="79"/>
      <c r="K13" s="72"/>
      <c r="L13" s="74"/>
      <c r="M13" s="74"/>
      <c r="N13" s="72"/>
      <c r="Q13" s="94">
        <v>42806</v>
      </c>
      <c r="R13" s="55">
        <f t="shared" si="2"/>
        <v>10779.825000000001</v>
      </c>
      <c r="S13" s="94">
        <v>42806</v>
      </c>
      <c r="T13" s="54">
        <f t="shared" si="0"/>
        <v>3235.05</v>
      </c>
      <c r="V13" s="50">
        <f t="shared" si="1"/>
        <v>3235.05</v>
      </c>
    </row>
    <row r="14" spans="1:22" ht="18.75" x14ac:dyDescent="0.3">
      <c r="A14" s="34" t="s">
        <v>60</v>
      </c>
      <c r="B14" s="28" t="e">
        <f>B11/-B15</f>
        <v>#VALUE!</v>
      </c>
      <c r="C14" s="18"/>
      <c r="D14" t="s">
        <v>43</v>
      </c>
      <c r="E14" s="17">
        <v>1.7</v>
      </c>
      <c r="F14" s="66">
        <v>42747</v>
      </c>
      <c r="G14" s="67">
        <f>B4</f>
        <v>12500</v>
      </c>
      <c r="H14" s="67">
        <v>0</v>
      </c>
      <c r="I14" s="67">
        <f>-L12</f>
        <v>-1576.0500000000002</v>
      </c>
      <c r="J14" s="71">
        <v>4225</v>
      </c>
      <c r="K14" s="67">
        <f>J14*B5</f>
        <v>1774.5</v>
      </c>
      <c r="L14" s="69">
        <f t="shared" ref="L14:L25" si="3">K14*E13</f>
        <v>3371.5499999999997</v>
      </c>
      <c r="M14" s="67">
        <f t="shared" ref="M14:M25" si="4">G14+L14</f>
        <v>15871.55</v>
      </c>
      <c r="N14" s="70">
        <f t="shared" ref="N14:N25" si="5">L14/G14</f>
        <v>0.26972399999999996</v>
      </c>
      <c r="O14" s="29">
        <v>7</v>
      </c>
      <c r="Q14" s="94">
        <v>42837</v>
      </c>
      <c r="R14" s="55">
        <f t="shared" si="2"/>
        <v>7012.9500000000007</v>
      </c>
      <c r="S14" s="94">
        <v>42837</v>
      </c>
      <c r="U14" s="54">
        <f>V14</f>
        <v>-3766.875</v>
      </c>
      <c r="V14" s="50">
        <f t="shared" si="1"/>
        <v>-3766.875</v>
      </c>
    </row>
    <row r="15" spans="1:22" ht="18.75" x14ac:dyDescent="0.3">
      <c r="A15" s="34" t="s">
        <v>59</v>
      </c>
      <c r="B15" s="56">
        <f>(L17+L18)*1.1</f>
        <v>-6663.3875000000007</v>
      </c>
      <c r="C15" s="18"/>
      <c r="D15" t="s">
        <v>44</v>
      </c>
      <c r="E15" s="17">
        <v>1.3</v>
      </c>
      <c r="F15" s="66">
        <v>42778</v>
      </c>
      <c r="G15" s="67">
        <f t="shared" ref="G15:G25" si="6">M14</f>
        <v>15871.55</v>
      </c>
      <c r="H15" s="67">
        <v>0</v>
      </c>
      <c r="I15" s="67">
        <v>0</v>
      </c>
      <c r="J15" s="71">
        <v>3637.5</v>
      </c>
      <c r="K15" s="67">
        <f>J15*B5</f>
        <v>1527.75</v>
      </c>
      <c r="L15" s="69">
        <f t="shared" si="3"/>
        <v>2597.1749999999997</v>
      </c>
      <c r="M15" s="67">
        <f t="shared" si="4"/>
        <v>18468.724999999999</v>
      </c>
      <c r="N15" s="70">
        <f t="shared" si="5"/>
        <v>0.16363713688959175</v>
      </c>
      <c r="Q15" s="94">
        <v>42867</v>
      </c>
      <c r="R15" s="55">
        <f t="shared" si="2"/>
        <v>4722.2000000000007</v>
      </c>
      <c r="S15" s="94">
        <v>42867</v>
      </c>
      <c r="U15" s="54">
        <f>V15</f>
        <v>-2290.75</v>
      </c>
      <c r="V15" s="50">
        <f t="shared" si="1"/>
        <v>-2290.75</v>
      </c>
    </row>
    <row r="16" spans="1:22" ht="18.75" x14ac:dyDescent="0.3">
      <c r="A16" s="34" t="s">
        <v>25</v>
      </c>
      <c r="B16" s="1">
        <f>B15/B12</f>
        <v>-0.53307100000000007</v>
      </c>
      <c r="C16" s="52"/>
      <c r="D16" t="s">
        <v>45</v>
      </c>
      <c r="E16" s="17">
        <v>2.5</v>
      </c>
      <c r="F16" s="66">
        <v>42806</v>
      </c>
      <c r="G16" s="67">
        <f t="shared" si="6"/>
        <v>18468.724999999999</v>
      </c>
      <c r="H16" s="67">
        <v>0</v>
      </c>
      <c r="I16" s="67">
        <v>0</v>
      </c>
      <c r="J16" s="71">
        <v>5925</v>
      </c>
      <c r="K16" s="67">
        <f>J16*B5</f>
        <v>2488.5</v>
      </c>
      <c r="L16" s="69">
        <f t="shared" si="3"/>
        <v>3235.05</v>
      </c>
      <c r="M16" s="67">
        <f t="shared" si="4"/>
        <v>21703.774999999998</v>
      </c>
      <c r="N16" s="70">
        <f t="shared" si="5"/>
        <v>0.17516368888485809</v>
      </c>
      <c r="Q16" s="94">
        <v>42898</v>
      </c>
      <c r="R16" s="55">
        <f t="shared" si="2"/>
        <v>6961.85</v>
      </c>
      <c r="S16" s="94">
        <v>42898</v>
      </c>
      <c r="T16" s="54">
        <f>V16</f>
        <v>2239.65</v>
      </c>
      <c r="V16" s="50">
        <f t="shared" si="1"/>
        <v>2239.65</v>
      </c>
    </row>
    <row r="17" spans="2:22" ht="18.75" x14ac:dyDescent="0.3">
      <c r="B17" s="29"/>
      <c r="C17" s="52"/>
      <c r="D17" t="s">
        <v>46</v>
      </c>
      <c r="E17" s="17">
        <v>1</v>
      </c>
      <c r="F17" s="66">
        <v>42837</v>
      </c>
      <c r="G17" s="67">
        <f t="shared" si="6"/>
        <v>21703.774999999998</v>
      </c>
      <c r="H17" s="67">
        <v>0</v>
      </c>
      <c r="I17" s="67">
        <v>0</v>
      </c>
      <c r="J17" s="68">
        <v>-3075</v>
      </c>
      <c r="K17" s="67">
        <f>J17*B6</f>
        <v>-1506.75</v>
      </c>
      <c r="L17" s="69">
        <f t="shared" si="3"/>
        <v>-3766.875</v>
      </c>
      <c r="M17" s="67">
        <f t="shared" si="4"/>
        <v>17936.899999999998</v>
      </c>
      <c r="N17" s="70">
        <f t="shared" si="5"/>
        <v>-0.17355851689395049</v>
      </c>
      <c r="Q17" s="94">
        <v>42928</v>
      </c>
      <c r="R17" s="55">
        <f t="shared" si="2"/>
        <v>11157.650000000001</v>
      </c>
      <c r="S17" s="94">
        <v>42928</v>
      </c>
      <c r="T17" s="54">
        <f>V17</f>
        <v>4195.8</v>
      </c>
      <c r="V17" s="50">
        <f t="shared" si="1"/>
        <v>4195.8</v>
      </c>
    </row>
    <row r="18" spans="2:22" ht="18.75" x14ac:dyDescent="0.3">
      <c r="B18" s="29"/>
      <c r="C18" s="52"/>
      <c r="D18" t="s">
        <v>47</v>
      </c>
      <c r="E18" s="17">
        <v>0.9</v>
      </c>
      <c r="F18" s="66">
        <v>42867</v>
      </c>
      <c r="G18" s="67">
        <f t="shared" si="6"/>
        <v>17936.899999999998</v>
      </c>
      <c r="H18" s="67">
        <v>0</v>
      </c>
      <c r="I18" s="67">
        <v>0</v>
      </c>
      <c r="J18" s="68">
        <v>-4675</v>
      </c>
      <c r="K18" s="67">
        <f>J18*B6</f>
        <v>-2290.75</v>
      </c>
      <c r="L18" s="69">
        <f t="shared" si="3"/>
        <v>-2290.75</v>
      </c>
      <c r="M18" s="67">
        <f t="shared" si="4"/>
        <v>15646.149999999998</v>
      </c>
      <c r="N18" s="70">
        <f t="shared" si="5"/>
        <v>-0.12771158895907322</v>
      </c>
      <c r="Q18" s="94">
        <v>42959</v>
      </c>
      <c r="R18" s="55">
        <f t="shared" si="2"/>
        <v>9173.1500000000015</v>
      </c>
      <c r="S18" s="94">
        <v>42959</v>
      </c>
      <c r="T18" s="29" t="s">
        <v>55</v>
      </c>
      <c r="U18" s="54">
        <f>V18</f>
        <v>-1984.5</v>
      </c>
      <c r="V18" s="50">
        <f t="shared" si="1"/>
        <v>-1984.5</v>
      </c>
    </row>
    <row r="19" spans="2:22" ht="18.75" x14ac:dyDescent="0.3">
      <c r="C19" s="52"/>
      <c r="D19" t="s">
        <v>48</v>
      </c>
      <c r="E19" s="17">
        <v>1.8</v>
      </c>
      <c r="F19" s="66">
        <v>42898</v>
      </c>
      <c r="G19" s="67">
        <f t="shared" si="6"/>
        <v>15646.149999999998</v>
      </c>
      <c r="H19" s="67">
        <v>0</v>
      </c>
      <c r="I19" s="67">
        <v>0</v>
      </c>
      <c r="J19" s="71">
        <v>5925</v>
      </c>
      <c r="K19" s="67">
        <f>J19*B5</f>
        <v>2488.5</v>
      </c>
      <c r="L19" s="69">
        <f t="shared" si="3"/>
        <v>2239.65</v>
      </c>
      <c r="M19" s="67">
        <f t="shared" si="4"/>
        <v>17885.8</v>
      </c>
      <c r="N19" s="70">
        <f t="shared" si="5"/>
        <v>0.14314384049750262</v>
      </c>
      <c r="Q19" s="94">
        <v>42990</v>
      </c>
      <c r="R19" s="55">
        <f t="shared" si="2"/>
        <v>6055.5250000000015</v>
      </c>
      <c r="S19" s="94">
        <v>42990</v>
      </c>
      <c r="U19" s="54">
        <f>V19</f>
        <v>-3117.625</v>
      </c>
      <c r="V19" s="50">
        <f t="shared" si="1"/>
        <v>-3117.625</v>
      </c>
    </row>
    <row r="20" spans="2:22" ht="18.75" x14ac:dyDescent="0.3">
      <c r="C20" s="52"/>
      <c r="D20" t="s">
        <v>57</v>
      </c>
      <c r="E20" s="17">
        <v>1</v>
      </c>
      <c r="F20" s="66">
        <v>42928</v>
      </c>
      <c r="G20" s="67">
        <f t="shared" si="6"/>
        <v>17885.8</v>
      </c>
      <c r="H20" s="67">
        <v>0</v>
      </c>
      <c r="I20" s="67">
        <v>0</v>
      </c>
      <c r="J20" s="71">
        <v>5550</v>
      </c>
      <c r="K20" s="67">
        <f>J20*B5</f>
        <v>2331</v>
      </c>
      <c r="L20" s="69">
        <f t="shared" si="3"/>
        <v>4195.8</v>
      </c>
      <c r="M20" s="67">
        <f t="shared" si="4"/>
        <v>22081.599999999999</v>
      </c>
      <c r="N20" s="70">
        <f t="shared" si="5"/>
        <v>0.2345883326437733</v>
      </c>
      <c r="Q20" s="94">
        <v>43020</v>
      </c>
      <c r="R20" s="55">
        <f t="shared" si="2"/>
        <v>6136.3750000000018</v>
      </c>
      <c r="S20" s="94">
        <v>43020</v>
      </c>
      <c r="T20" s="54">
        <f>V20</f>
        <v>80.850000000000009</v>
      </c>
      <c r="U20" s="54"/>
      <c r="V20" s="50">
        <f t="shared" si="1"/>
        <v>80.850000000000009</v>
      </c>
    </row>
    <row r="21" spans="2:22" ht="18.75" x14ac:dyDescent="0.3">
      <c r="C21" s="53"/>
      <c r="D21" t="s">
        <v>49</v>
      </c>
      <c r="E21" s="17">
        <v>1</v>
      </c>
      <c r="F21" s="66">
        <v>42959</v>
      </c>
      <c r="G21" s="67">
        <f t="shared" si="6"/>
        <v>22081.599999999999</v>
      </c>
      <c r="H21" s="67">
        <v>0</v>
      </c>
      <c r="I21" s="67">
        <v>0</v>
      </c>
      <c r="J21" s="68">
        <v>-4050</v>
      </c>
      <c r="K21" s="67">
        <f>J21*B6</f>
        <v>-1984.5</v>
      </c>
      <c r="L21" s="69">
        <f t="shared" si="3"/>
        <v>-1984.5</v>
      </c>
      <c r="M21" s="67">
        <f t="shared" si="4"/>
        <v>20097.099999999999</v>
      </c>
      <c r="N21" s="70">
        <f t="shared" si="5"/>
        <v>-8.9871204985146017E-2</v>
      </c>
      <c r="Q21" s="94">
        <v>43051</v>
      </c>
      <c r="R21" s="55">
        <f t="shared" si="2"/>
        <v>6612.0250000000015</v>
      </c>
      <c r="S21" s="94">
        <v>43051</v>
      </c>
      <c r="T21" s="54">
        <f>V21</f>
        <v>475.65000000000003</v>
      </c>
      <c r="V21" s="50">
        <f t="shared" si="1"/>
        <v>475.65000000000003</v>
      </c>
    </row>
    <row r="22" spans="2:22" ht="18.75" x14ac:dyDescent="0.3">
      <c r="C22" s="32"/>
      <c r="D22" t="s">
        <v>51</v>
      </c>
      <c r="E22" s="17">
        <f>-0.4</f>
        <v>-0.4</v>
      </c>
      <c r="F22" s="66">
        <v>42990</v>
      </c>
      <c r="G22" s="67">
        <f t="shared" si="6"/>
        <v>20097.099999999999</v>
      </c>
      <c r="H22" s="67">
        <v>0</v>
      </c>
      <c r="I22" s="67">
        <v>0</v>
      </c>
      <c r="J22" s="68">
        <v>-6362.5</v>
      </c>
      <c r="K22" s="67">
        <f>J22*B6</f>
        <v>-3117.625</v>
      </c>
      <c r="L22" s="69">
        <f t="shared" si="3"/>
        <v>-3117.625</v>
      </c>
      <c r="M22" s="67">
        <f t="shared" si="4"/>
        <v>16979.474999999999</v>
      </c>
      <c r="N22" s="70">
        <f t="shared" si="5"/>
        <v>-0.15512810305964544</v>
      </c>
      <c r="Q22" s="94">
        <v>43081</v>
      </c>
      <c r="R22" s="55">
        <f t="shared" si="2"/>
        <v>6563.6375000000016</v>
      </c>
      <c r="S22" s="94">
        <v>43081</v>
      </c>
      <c r="U22" s="54">
        <f>V22</f>
        <v>-48.387500000000003</v>
      </c>
      <c r="V22" s="50">
        <f t="shared" si="1"/>
        <v>-48.387500000000003</v>
      </c>
    </row>
    <row r="23" spans="2:22" ht="18.75" x14ac:dyDescent="0.3">
      <c r="D23" t="s">
        <v>50</v>
      </c>
      <c r="E23" s="17">
        <v>0.2</v>
      </c>
      <c r="F23" s="66">
        <v>43020</v>
      </c>
      <c r="G23" s="67">
        <f t="shared" si="6"/>
        <v>16979.474999999999</v>
      </c>
      <c r="H23" s="67">
        <v>0</v>
      </c>
      <c r="I23" s="67">
        <v>0</v>
      </c>
      <c r="J23" s="68">
        <v>-412.5</v>
      </c>
      <c r="K23" s="67">
        <f>J23*B6</f>
        <v>-202.125</v>
      </c>
      <c r="L23" s="69">
        <f t="shared" si="3"/>
        <v>80.850000000000009</v>
      </c>
      <c r="M23" s="67">
        <f t="shared" si="4"/>
        <v>17060.324999999997</v>
      </c>
      <c r="N23" s="70">
        <f t="shared" si="5"/>
        <v>4.7616313225232239E-3</v>
      </c>
      <c r="Q23" s="94">
        <v>42748</v>
      </c>
      <c r="R23" s="55">
        <f>V23+R22</f>
        <v>9632.2625000000007</v>
      </c>
      <c r="S23" s="94">
        <v>42748</v>
      </c>
      <c r="T23" s="54">
        <f>V23</f>
        <v>3068.625</v>
      </c>
      <c r="U23" s="54"/>
      <c r="V23" s="50">
        <f t="shared" ref="V23:V34" si="7">L29</f>
        <v>3068.625</v>
      </c>
    </row>
    <row r="24" spans="2:22" ht="18.75" x14ac:dyDescent="0.3">
      <c r="D24" t="s">
        <v>52</v>
      </c>
      <c r="E24" s="17">
        <f>0.1</f>
        <v>0.1</v>
      </c>
      <c r="F24" s="66">
        <v>43051</v>
      </c>
      <c r="G24" s="67">
        <f t="shared" si="6"/>
        <v>17060.324999999997</v>
      </c>
      <c r="H24" s="67">
        <v>0</v>
      </c>
      <c r="I24" s="67">
        <v>0</v>
      </c>
      <c r="J24" s="71">
        <v>5662.5</v>
      </c>
      <c r="K24" s="67">
        <f>J24*B5</f>
        <v>2378.25</v>
      </c>
      <c r="L24" s="69">
        <f t="shared" si="3"/>
        <v>475.65000000000003</v>
      </c>
      <c r="M24" s="67">
        <f t="shared" si="4"/>
        <v>17535.974999999999</v>
      </c>
      <c r="N24" s="70">
        <f t="shared" si="5"/>
        <v>2.7880477071802565E-2</v>
      </c>
      <c r="Q24" s="94">
        <v>42779</v>
      </c>
      <c r="R24" s="55">
        <f t="shared" ref="R24:R34" si="8">R23+V24</f>
        <v>10257.012500000001</v>
      </c>
      <c r="S24" s="94">
        <v>42779</v>
      </c>
      <c r="T24" s="54">
        <f>V24</f>
        <v>624.75</v>
      </c>
      <c r="V24" s="50">
        <f t="shared" si="7"/>
        <v>624.75</v>
      </c>
    </row>
    <row r="25" spans="2:22" ht="18.75" x14ac:dyDescent="0.3">
      <c r="D25"/>
      <c r="E25" s="17"/>
      <c r="F25" s="66">
        <v>43081</v>
      </c>
      <c r="G25" s="67">
        <f t="shared" si="6"/>
        <v>17535.974999999999</v>
      </c>
      <c r="H25" s="67">
        <v>0</v>
      </c>
      <c r="I25" s="67">
        <v>0</v>
      </c>
      <c r="J25" s="68">
        <v>-987.5</v>
      </c>
      <c r="K25" s="67">
        <f>J25*B6</f>
        <v>-483.875</v>
      </c>
      <c r="L25" s="69">
        <f t="shared" si="3"/>
        <v>-48.387500000000003</v>
      </c>
      <c r="M25" s="67">
        <f t="shared" si="4"/>
        <v>17487.587499999998</v>
      </c>
      <c r="N25" s="70">
        <f t="shared" si="5"/>
        <v>-2.7593276108114893E-3</v>
      </c>
      <c r="Q25" s="94">
        <v>42807</v>
      </c>
      <c r="R25" s="55">
        <f t="shared" si="8"/>
        <v>7701.4175000000014</v>
      </c>
      <c r="S25" s="94">
        <v>42807</v>
      </c>
      <c r="U25" s="54">
        <f>V25</f>
        <v>-2555.5949999999998</v>
      </c>
      <c r="V25" s="50">
        <f t="shared" si="7"/>
        <v>-2555.5949999999998</v>
      </c>
    </row>
    <row r="26" spans="2:22" ht="18.75" x14ac:dyDescent="0.3">
      <c r="D26" s="18"/>
      <c r="F26" s="72"/>
      <c r="G26" s="72"/>
      <c r="H26" s="72"/>
      <c r="I26" s="72"/>
      <c r="J26" s="73" t="s">
        <v>11</v>
      </c>
      <c r="K26" s="72" t="s">
        <v>11</v>
      </c>
      <c r="L26" s="72" t="s">
        <v>11</v>
      </c>
      <c r="M26" s="72"/>
      <c r="N26" s="72" t="s">
        <v>11</v>
      </c>
      <c r="Q26" s="94">
        <v>42838</v>
      </c>
      <c r="R26" s="55">
        <f t="shared" si="8"/>
        <v>10977.417500000001</v>
      </c>
      <c r="S26" s="94">
        <v>42838</v>
      </c>
      <c r="T26" s="54">
        <f>V26</f>
        <v>3276</v>
      </c>
      <c r="V26" s="50">
        <f t="shared" si="7"/>
        <v>3276</v>
      </c>
    </row>
    <row r="27" spans="2:22" ht="18.75" x14ac:dyDescent="0.3">
      <c r="D27" s="18"/>
      <c r="F27" s="72"/>
      <c r="G27" s="72"/>
      <c r="H27" s="72"/>
      <c r="I27" s="72"/>
      <c r="J27" s="75">
        <v>11362.5</v>
      </c>
      <c r="K27" s="67">
        <f>SUM(K14:K26)</f>
        <v>3402.875</v>
      </c>
      <c r="L27" s="80">
        <f>SUM(L14:L26)</f>
        <v>4987.5874999999987</v>
      </c>
      <c r="M27" s="81"/>
      <c r="N27" s="78">
        <f>L27/G14</f>
        <v>0.39900699999999989</v>
      </c>
      <c r="P27" s="54">
        <f>L27</f>
        <v>4987.5874999999987</v>
      </c>
      <c r="Q27" s="94">
        <v>42868</v>
      </c>
      <c r="R27" s="55">
        <f t="shared" si="8"/>
        <v>14379.417500000001</v>
      </c>
      <c r="S27" s="94">
        <v>42868</v>
      </c>
      <c r="T27" s="54">
        <f>V27</f>
        <v>3402</v>
      </c>
      <c r="V27" s="50">
        <f t="shared" si="7"/>
        <v>3402</v>
      </c>
    </row>
    <row r="28" spans="2:22" ht="18.75" x14ac:dyDescent="0.3">
      <c r="D28" t="s">
        <v>42</v>
      </c>
      <c r="E28" s="17">
        <f>-2</f>
        <v>-2</v>
      </c>
      <c r="F28" s="72"/>
      <c r="G28" s="72"/>
      <c r="H28" s="72"/>
      <c r="I28" s="72"/>
      <c r="J28" s="79"/>
      <c r="K28" s="72"/>
      <c r="L28" s="64"/>
      <c r="M28" s="72"/>
      <c r="N28" s="72"/>
      <c r="O28" s="29">
        <v>12</v>
      </c>
      <c r="Q28" s="94">
        <v>42899</v>
      </c>
      <c r="R28" s="55">
        <f t="shared" si="8"/>
        <v>12639.917500000001</v>
      </c>
      <c r="S28" s="94">
        <v>42899</v>
      </c>
      <c r="U28" s="54">
        <f>V28</f>
        <v>-1739.5</v>
      </c>
      <c r="V28" s="50">
        <f t="shared" si="7"/>
        <v>-1739.5</v>
      </c>
    </row>
    <row r="29" spans="2:22" ht="18.75" x14ac:dyDescent="0.3">
      <c r="D29" t="s">
        <v>43</v>
      </c>
      <c r="E29" s="17">
        <v>1</v>
      </c>
      <c r="F29" s="66">
        <v>42748</v>
      </c>
      <c r="G29" s="67">
        <f>B4</f>
        <v>12500</v>
      </c>
      <c r="H29" s="67">
        <v>0</v>
      </c>
      <c r="I29" s="67">
        <f>-L27</f>
        <v>-4987.5874999999987</v>
      </c>
      <c r="J29" s="68">
        <v>-3131.25</v>
      </c>
      <c r="K29" s="67">
        <f>J29*B6</f>
        <v>-1534.3125</v>
      </c>
      <c r="L29" s="69">
        <f t="shared" ref="L29:L40" si="9">K29*E28</f>
        <v>3068.625</v>
      </c>
      <c r="M29" s="67">
        <f t="shared" ref="M29:M40" si="10">G29+L29</f>
        <v>15568.625</v>
      </c>
      <c r="N29" s="70">
        <f t="shared" ref="N29:N40" si="11">L29/G29</f>
        <v>0.24549000000000001</v>
      </c>
      <c r="Q29" s="94">
        <v>42929</v>
      </c>
      <c r="R29" s="55">
        <f t="shared" si="8"/>
        <v>14608.667500000001</v>
      </c>
      <c r="S29" s="94">
        <v>42929</v>
      </c>
      <c r="T29" s="54">
        <f>V29</f>
        <v>1968.75</v>
      </c>
      <c r="V29" s="50">
        <f t="shared" si="7"/>
        <v>1968.75</v>
      </c>
    </row>
    <row r="30" spans="2:22" ht="18.75" x14ac:dyDescent="0.3">
      <c r="D30" t="s">
        <v>44</v>
      </c>
      <c r="E30" s="17">
        <v>1</v>
      </c>
      <c r="F30" s="66">
        <v>42779</v>
      </c>
      <c r="G30" s="67">
        <f t="shared" ref="G30:G40" si="12">M29</f>
        <v>15568.625</v>
      </c>
      <c r="H30" s="67">
        <v>0</v>
      </c>
      <c r="I30" s="67">
        <v>0</v>
      </c>
      <c r="J30" s="71">
        <v>1487.5</v>
      </c>
      <c r="K30" s="67">
        <f>J30*B5</f>
        <v>624.75</v>
      </c>
      <c r="L30" s="69">
        <f t="shared" si="9"/>
        <v>624.75</v>
      </c>
      <c r="M30" s="67">
        <f t="shared" si="10"/>
        <v>16193.375</v>
      </c>
      <c r="N30" s="70">
        <f t="shared" si="11"/>
        <v>4.0128784655035367E-2</v>
      </c>
      <c r="Q30" s="94">
        <v>42960</v>
      </c>
      <c r="R30" s="55">
        <f t="shared" si="8"/>
        <v>13279.542500000001</v>
      </c>
      <c r="S30" s="94">
        <v>42960</v>
      </c>
      <c r="U30" s="54">
        <f>V30</f>
        <v>-1329.125</v>
      </c>
      <c r="V30" s="50">
        <f t="shared" si="7"/>
        <v>-1329.125</v>
      </c>
    </row>
    <row r="31" spans="2:22" ht="18.75" x14ac:dyDescent="0.3">
      <c r="D31" t="s">
        <v>45</v>
      </c>
      <c r="E31" s="17">
        <v>1</v>
      </c>
      <c r="F31" s="66">
        <v>42807</v>
      </c>
      <c r="G31" s="67">
        <f t="shared" si="12"/>
        <v>16193.375</v>
      </c>
      <c r="H31" s="67">
        <v>0</v>
      </c>
      <c r="I31" s="67">
        <v>0</v>
      </c>
      <c r="J31" s="68">
        <v>-5215.5</v>
      </c>
      <c r="K31" s="67">
        <f>J31*B6</f>
        <v>-2555.5949999999998</v>
      </c>
      <c r="L31" s="69">
        <f t="shared" si="9"/>
        <v>-2555.5949999999998</v>
      </c>
      <c r="M31" s="67">
        <f t="shared" si="10"/>
        <v>13637.78</v>
      </c>
      <c r="N31" s="70">
        <f t="shared" si="11"/>
        <v>-0.15781731726709225</v>
      </c>
      <c r="Q31" s="94">
        <v>42991</v>
      </c>
      <c r="R31" s="55">
        <f t="shared" si="8"/>
        <v>15216.792500000001</v>
      </c>
      <c r="S31" s="94">
        <v>42991</v>
      </c>
      <c r="T31" s="54">
        <f>V31</f>
        <v>1937.25</v>
      </c>
      <c r="V31" s="50">
        <f t="shared" si="7"/>
        <v>1937.25</v>
      </c>
    </row>
    <row r="32" spans="2:22" ht="18.75" x14ac:dyDescent="0.3">
      <c r="D32" t="s">
        <v>46</v>
      </c>
      <c r="E32" s="17">
        <v>1</v>
      </c>
      <c r="F32" s="66">
        <v>42838</v>
      </c>
      <c r="G32" s="67">
        <f t="shared" si="12"/>
        <v>13637.78</v>
      </c>
      <c r="H32" s="67">
        <v>0</v>
      </c>
      <c r="I32" s="67">
        <v>0</v>
      </c>
      <c r="J32" s="71">
        <v>7800</v>
      </c>
      <c r="K32" s="67">
        <f>J32*B5</f>
        <v>3276</v>
      </c>
      <c r="L32" s="69">
        <f t="shared" si="9"/>
        <v>3276</v>
      </c>
      <c r="M32" s="67">
        <f t="shared" si="10"/>
        <v>16913.78</v>
      </c>
      <c r="N32" s="70">
        <f t="shared" si="11"/>
        <v>0.24021504966350826</v>
      </c>
      <c r="Q32" s="94">
        <v>43021</v>
      </c>
      <c r="R32" s="55">
        <f t="shared" si="8"/>
        <v>16576.542500000003</v>
      </c>
      <c r="S32" s="94">
        <v>43021</v>
      </c>
      <c r="T32" s="54">
        <f>V32</f>
        <v>1359.75</v>
      </c>
      <c r="V32" s="50">
        <f t="shared" si="7"/>
        <v>1359.75</v>
      </c>
    </row>
    <row r="33" spans="4:22" ht="18.75" x14ac:dyDescent="0.3">
      <c r="D33" t="s">
        <v>47</v>
      </c>
      <c r="E33" s="17">
        <v>1</v>
      </c>
      <c r="F33" s="66">
        <v>42868</v>
      </c>
      <c r="G33" s="67">
        <f t="shared" si="12"/>
        <v>16913.78</v>
      </c>
      <c r="H33" s="67">
        <v>0</v>
      </c>
      <c r="I33" s="67">
        <v>0</v>
      </c>
      <c r="J33" s="71">
        <v>8100</v>
      </c>
      <c r="K33" s="67">
        <f>J33*B5</f>
        <v>3402</v>
      </c>
      <c r="L33" s="69">
        <f t="shared" si="9"/>
        <v>3402</v>
      </c>
      <c r="M33" s="67">
        <f t="shared" si="10"/>
        <v>20315.78</v>
      </c>
      <c r="N33" s="70">
        <f t="shared" si="11"/>
        <v>0.20113777050428705</v>
      </c>
      <c r="Q33" s="94">
        <v>43052</v>
      </c>
      <c r="R33" s="55">
        <f t="shared" si="8"/>
        <v>14095.917500000003</v>
      </c>
      <c r="S33" s="94">
        <v>43052</v>
      </c>
      <c r="U33" s="54">
        <f>V33</f>
        <v>-2480.625</v>
      </c>
      <c r="V33" s="50">
        <f t="shared" si="7"/>
        <v>-2480.625</v>
      </c>
    </row>
    <row r="34" spans="4:22" ht="18.75" x14ac:dyDescent="0.3">
      <c r="D34" t="s">
        <v>48</v>
      </c>
      <c r="E34" s="17">
        <v>1</v>
      </c>
      <c r="F34" s="66">
        <v>42899</v>
      </c>
      <c r="G34" s="67">
        <f t="shared" si="12"/>
        <v>20315.78</v>
      </c>
      <c r="H34" s="67">
        <v>0</v>
      </c>
      <c r="I34" s="67">
        <v>0</v>
      </c>
      <c r="J34" s="68">
        <v>-3550</v>
      </c>
      <c r="K34" s="67">
        <f>J34*B6</f>
        <v>-1739.5</v>
      </c>
      <c r="L34" s="69">
        <f t="shared" si="9"/>
        <v>-1739.5</v>
      </c>
      <c r="M34" s="67">
        <f t="shared" si="10"/>
        <v>18576.28</v>
      </c>
      <c r="N34" s="70">
        <f t="shared" si="11"/>
        <v>-8.5623096922687686E-2</v>
      </c>
      <c r="Q34" s="94">
        <v>43082</v>
      </c>
      <c r="R34" s="55">
        <f t="shared" si="8"/>
        <v>15292.917500000003</v>
      </c>
      <c r="S34" s="94">
        <v>43082</v>
      </c>
      <c r="T34" s="54">
        <f>V34</f>
        <v>1197</v>
      </c>
      <c r="V34" s="50">
        <f t="shared" si="7"/>
        <v>1197</v>
      </c>
    </row>
    <row r="35" spans="4:22" ht="18.75" x14ac:dyDescent="0.3">
      <c r="D35" t="s">
        <v>57</v>
      </c>
      <c r="E35" s="17">
        <v>1</v>
      </c>
      <c r="F35" s="66">
        <v>42929</v>
      </c>
      <c r="G35" s="67">
        <f t="shared" si="12"/>
        <v>18576.28</v>
      </c>
      <c r="H35" s="67">
        <v>0</v>
      </c>
      <c r="I35" s="67">
        <v>0</v>
      </c>
      <c r="J35" s="71">
        <v>4687.5</v>
      </c>
      <c r="K35" s="67">
        <f>J35*B5</f>
        <v>1968.75</v>
      </c>
      <c r="L35" s="69">
        <f t="shared" si="9"/>
        <v>1968.75</v>
      </c>
      <c r="M35" s="67">
        <f t="shared" si="10"/>
        <v>20545.03</v>
      </c>
      <c r="N35" s="70">
        <f t="shared" si="11"/>
        <v>0.10598192964361003</v>
      </c>
      <c r="Q35" s="94">
        <v>42749</v>
      </c>
      <c r="R35" s="55">
        <f>V35+R34</f>
        <v>14043.417500000003</v>
      </c>
      <c r="S35" s="94">
        <v>42749</v>
      </c>
      <c r="U35" s="54">
        <f>V35</f>
        <v>-1249.5</v>
      </c>
      <c r="V35" s="50">
        <f t="shared" ref="V35:V46" si="13">L44</f>
        <v>-1249.5</v>
      </c>
    </row>
    <row r="36" spans="4:22" ht="18.75" x14ac:dyDescent="0.3">
      <c r="D36" t="s">
        <v>49</v>
      </c>
      <c r="E36" s="17">
        <v>1</v>
      </c>
      <c r="F36" s="66">
        <v>42960</v>
      </c>
      <c r="G36" s="67">
        <f t="shared" si="12"/>
        <v>20545.03</v>
      </c>
      <c r="H36" s="67">
        <v>0</v>
      </c>
      <c r="I36" s="67">
        <v>0</v>
      </c>
      <c r="J36" s="68">
        <v>-2712.5</v>
      </c>
      <c r="K36" s="67">
        <f>J36*B6</f>
        <v>-1329.125</v>
      </c>
      <c r="L36" s="69">
        <f t="shared" si="9"/>
        <v>-1329.125</v>
      </c>
      <c r="M36" s="67">
        <f t="shared" si="10"/>
        <v>19215.904999999999</v>
      </c>
      <c r="N36" s="70">
        <f t="shared" si="11"/>
        <v>-6.4693261581998174E-2</v>
      </c>
      <c r="Q36" s="94">
        <v>42780</v>
      </c>
      <c r="R36" s="55">
        <f t="shared" ref="R36:R46" si="14">R35+V36</f>
        <v>18508.017500000002</v>
      </c>
      <c r="S36" s="94">
        <v>42780</v>
      </c>
      <c r="T36" s="54">
        <f>V36</f>
        <v>4464.6000000000004</v>
      </c>
      <c r="V36" s="50">
        <f t="shared" si="13"/>
        <v>4464.6000000000004</v>
      </c>
    </row>
    <row r="37" spans="4:22" ht="18.75" x14ac:dyDescent="0.3">
      <c r="D37" t="s">
        <v>51</v>
      </c>
      <c r="E37" s="17">
        <v>1</v>
      </c>
      <c r="F37" s="66">
        <v>42991</v>
      </c>
      <c r="G37" s="67">
        <f t="shared" si="12"/>
        <v>19215.904999999999</v>
      </c>
      <c r="H37" s="67">
        <v>0</v>
      </c>
      <c r="I37" s="67">
        <v>0</v>
      </c>
      <c r="J37" s="71">
        <v>4612.5</v>
      </c>
      <c r="K37" s="67">
        <f>J37*B5</f>
        <v>1937.25</v>
      </c>
      <c r="L37" s="69">
        <f t="shared" si="9"/>
        <v>1937.25</v>
      </c>
      <c r="M37" s="67">
        <f t="shared" si="10"/>
        <v>21153.154999999999</v>
      </c>
      <c r="N37" s="70">
        <f t="shared" si="11"/>
        <v>0.10081492388726943</v>
      </c>
      <c r="Q37" s="94">
        <v>42808</v>
      </c>
      <c r="R37" s="55">
        <f t="shared" si="14"/>
        <v>17681.142500000002</v>
      </c>
      <c r="S37" s="94">
        <v>42808</v>
      </c>
      <c r="U37" s="54">
        <f>V37</f>
        <v>-826.875</v>
      </c>
      <c r="V37" s="50">
        <f t="shared" si="13"/>
        <v>-826.875</v>
      </c>
    </row>
    <row r="38" spans="4:22" ht="18.75" x14ac:dyDescent="0.3">
      <c r="D38" t="s">
        <v>50</v>
      </c>
      <c r="E38" s="17">
        <v>1</v>
      </c>
      <c r="F38" s="66">
        <v>43021</v>
      </c>
      <c r="G38" s="67">
        <f t="shared" si="12"/>
        <v>21153.154999999999</v>
      </c>
      <c r="H38" s="67">
        <v>0</v>
      </c>
      <c r="I38" s="67">
        <v>0</v>
      </c>
      <c r="J38" s="71">
        <v>3237.5</v>
      </c>
      <c r="K38" s="67">
        <f>J38*B5</f>
        <v>1359.75</v>
      </c>
      <c r="L38" s="69">
        <f t="shared" si="9"/>
        <v>1359.75</v>
      </c>
      <c r="M38" s="67">
        <f t="shared" si="10"/>
        <v>22512.904999999999</v>
      </c>
      <c r="N38" s="70">
        <f t="shared" si="11"/>
        <v>6.4281191150918154E-2</v>
      </c>
      <c r="Q38" s="94">
        <v>42839</v>
      </c>
      <c r="R38" s="55">
        <f t="shared" si="14"/>
        <v>20967.642500000002</v>
      </c>
      <c r="S38" s="94">
        <v>42839</v>
      </c>
      <c r="T38" s="54">
        <f>V38</f>
        <v>3286.5</v>
      </c>
      <c r="V38" s="50">
        <f t="shared" si="13"/>
        <v>3286.5</v>
      </c>
    </row>
    <row r="39" spans="4:22" ht="18.75" x14ac:dyDescent="0.3">
      <c r="D39" t="s">
        <v>52</v>
      </c>
      <c r="E39" s="17">
        <v>1</v>
      </c>
      <c r="F39" s="66">
        <v>43052</v>
      </c>
      <c r="G39" s="67">
        <f t="shared" si="12"/>
        <v>22512.904999999999</v>
      </c>
      <c r="H39" s="67">
        <v>0</v>
      </c>
      <c r="I39" s="67">
        <v>0</v>
      </c>
      <c r="J39" s="68">
        <v>-5062.5</v>
      </c>
      <c r="K39" s="67">
        <f>J39*B6</f>
        <v>-2480.625</v>
      </c>
      <c r="L39" s="69">
        <f t="shared" si="9"/>
        <v>-2480.625</v>
      </c>
      <c r="M39" s="67">
        <f t="shared" si="10"/>
        <v>20032.28</v>
      </c>
      <c r="N39" s="70">
        <f t="shared" si="11"/>
        <v>-0.11018680174770872</v>
      </c>
      <c r="Q39" s="94">
        <v>42869</v>
      </c>
      <c r="R39" s="55">
        <f t="shared" si="14"/>
        <v>23519.142500000002</v>
      </c>
      <c r="S39" s="94">
        <v>42869</v>
      </c>
      <c r="T39" s="54">
        <f>V39</f>
        <v>2551.5</v>
      </c>
      <c r="V39" s="50">
        <f t="shared" si="13"/>
        <v>2551.5</v>
      </c>
    </row>
    <row r="40" spans="4:22" ht="18.75" x14ac:dyDescent="0.3">
      <c r="F40" s="66">
        <v>43082</v>
      </c>
      <c r="G40" s="67">
        <f t="shared" si="12"/>
        <v>20032.28</v>
      </c>
      <c r="H40" s="67">
        <v>0</v>
      </c>
      <c r="I40" s="67">
        <v>0</v>
      </c>
      <c r="J40" s="71">
        <v>2850</v>
      </c>
      <c r="K40" s="67">
        <f>J40*B5</f>
        <v>1197</v>
      </c>
      <c r="L40" s="69">
        <f t="shared" si="9"/>
        <v>1197</v>
      </c>
      <c r="M40" s="67">
        <f t="shared" si="10"/>
        <v>21229.279999999999</v>
      </c>
      <c r="N40" s="70">
        <f t="shared" si="11"/>
        <v>5.975355775777895E-2</v>
      </c>
      <c r="Q40" s="94">
        <v>42900</v>
      </c>
      <c r="R40" s="55">
        <f t="shared" si="14"/>
        <v>23729.142500000002</v>
      </c>
      <c r="S40" s="94">
        <v>42900</v>
      </c>
      <c r="T40" s="54">
        <f>V40</f>
        <v>210</v>
      </c>
      <c r="V40" s="50">
        <f t="shared" si="13"/>
        <v>210</v>
      </c>
    </row>
    <row r="41" spans="4:22" ht="18.75" x14ac:dyDescent="0.3">
      <c r="F41" s="72"/>
      <c r="G41" s="72"/>
      <c r="H41" s="72"/>
      <c r="I41" s="72"/>
      <c r="J41" s="73" t="s">
        <v>11</v>
      </c>
      <c r="K41" s="72" t="s">
        <v>11</v>
      </c>
      <c r="L41" s="72" t="s">
        <v>11</v>
      </c>
      <c r="M41" s="72"/>
      <c r="N41" s="72" t="s">
        <v>11</v>
      </c>
      <c r="Q41" s="94">
        <v>42930</v>
      </c>
      <c r="R41" s="55">
        <f t="shared" si="14"/>
        <v>25070.517500000002</v>
      </c>
      <c r="S41" s="94">
        <v>42930</v>
      </c>
      <c r="T41" s="54">
        <f>V41</f>
        <v>1341.375</v>
      </c>
      <c r="U41" s="54"/>
      <c r="V41" s="50">
        <f t="shared" si="13"/>
        <v>1341.375</v>
      </c>
    </row>
    <row r="42" spans="4:22" ht="18.75" x14ac:dyDescent="0.3">
      <c r="F42" s="72"/>
      <c r="G42" s="72"/>
      <c r="H42" s="72"/>
      <c r="I42" s="72"/>
      <c r="J42" s="75">
        <v>13103.25</v>
      </c>
      <c r="K42" s="67"/>
      <c r="L42" s="80">
        <f>SUM(L29:L41)</f>
        <v>8729.2800000000007</v>
      </c>
      <c r="M42" s="81"/>
      <c r="N42" s="78">
        <f>L42/G29</f>
        <v>0.69834240000000003</v>
      </c>
      <c r="P42" s="54">
        <f>L42</f>
        <v>8729.2800000000007</v>
      </c>
      <c r="Q42" s="94">
        <v>42961</v>
      </c>
      <c r="R42" s="55">
        <f t="shared" si="14"/>
        <v>26908.017500000002</v>
      </c>
      <c r="S42" s="94">
        <v>42961</v>
      </c>
      <c r="T42" s="54">
        <f t="shared" ref="T42:T49" si="15">V42</f>
        <v>1837.5</v>
      </c>
      <c r="V42" s="50">
        <f t="shared" si="13"/>
        <v>1837.5</v>
      </c>
    </row>
    <row r="43" spans="4:22" ht="18.75" x14ac:dyDescent="0.3">
      <c r="D43" t="s">
        <v>42</v>
      </c>
      <c r="E43" s="17">
        <v>1</v>
      </c>
      <c r="F43" s="72"/>
      <c r="G43" s="72"/>
      <c r="H43" s="72"/>
      <c r="I43" s="72"/>
      <c r="J43" s="79"/>
      <c r="K43" s="67"/>
      <c r="L43" s="80"/>
      <c r="M43" s="81"/>
      <c r="N43" s="78"/>
      <c r="O43" s="29">
        <v>12</v>
      </c>
      <c r="Q43" s="94">
        <v>42992</v>
      </c>
      <c r="R43" s="55">
        <f t="shared" si="14"/>
        <v>27204.1175</v>
      </c>
      <c r="S43" s="94">
        <v>42992</v>
      </c>
      <c r="T43" s="54">
        <f t="shared" si="15"/>
        <v>296.10000000000002</v>
      </c>
      <c r="V43" s="50">
        <f t="shared" si="13"/>
        <v>296.10000000000002</v>
      </c>
    </row>
    <row r="44" spans="4:22" ht="18.75" x14ac:dyDescent="0.3">
      <c r="D44" t="s">
        <v>43</v>
      </c>
      <c r="E44" s="17">
        <v>0.8</v>
      </c>
      <c r="F44" s="66">
        <v>42749</v>
      </c>
      <c r="G44" s="67">
        <f>B4</f>
        <v>12500</v>
      </c>
      <c r="H44" s="67">
        <v>0</v>
      </c>
      <c r="I44" s="67">
        <f>-L42</f>
        <v>-8729.2800000000007</v>
      </c>
      <c r="J44" s="68">
        <v>-2550</v>
      </c>
      <c r="K44" s="67">
        <f>J44*B6</f>
        <v>-1249.5</v>
      </c>
      <c r="L44" s="69">
        <f t="shared" ref="L44:L55" si="16">K44*E43</f>
        <v>-1249.5</v>
      </c>
      <c r="M44" s="67">
        <f t="shared" ref="M44:M55" si="17">G44+L44</f>
        <v>11250.5</v>
      </c>
      <c r="N44" s="70">
        <f t="shared" ref="N44:N55" si="18">L44/G44</f>
        <v>-9.9959999999999993E-2</v>
      </c>
      <c r="Q44" s="94">
        <v>43022</v>
      </c>
      <c r="R44" s="55">
        <f t="shared" si="14"/>
        <v>25832.2925</v>
      </c>
      <c r="S44" s="94">
        <v>43022</v>
      </c>
      <c r="T44" s="54"/>
      <c r="U44" s="54">
        <f>V44</f>
        <v>-1371.825</v>
      </c>
      <c r="V44" s="50">
        <f t="shared" si="13"/>
        <v>-1371.825</v>
      </c>
    </row>
    <row r="45" spans="4:22" ht="18.75" x14ac:dyDescent="0.3">
      <c r="D45" t="s">
        <v>44</v>
      </c>
      <c r="E45" s="17">
        <v>30</v>
      </c>
      <c r="F45" s="66">
        <v>42780</v>
      </c>
      <c r="G45" s="67">
        <f t="shared" ref="G45:G55" si="19">M44</f>
        <v>11250.5</v>
      </c>
      <c r="H45" s="67">
        <v>0</v>
      </c>
      <c r="I45" s="67">
        <v>0</v>
      </c>
      <c r="J45" s="71">
        <v>13287.5</v>
      </c>
      <c r="K45" s="67">
        <f>J45*B5</f>
        <v>5580.75</v>
      </c>
      <c r="L45" s="69">
        <f t="shared" si="16"/>
        <v>4464.6000000000004</v>
      </c>
      <c r="M45" s="67">
        <f t="shared" si="17"/>
        <v>15715.1</v>
      </c>
      <c r="N45" s="70">
        <f t="shared" si="18"/>
        <v>0.3968356961912804</v>
      </c>
      <c r="Q45" s="94">
        <v>43053</v>
      </c>
      <c r="R45" s="55">
        <f t="shared" si="14"/>
        <v>29108.2925</v>
      </c>
      <c r="S45" s="94">
        <v>43053</v>
      </c>
      <c r="T45" s="54">
        <f t="shared" si="15"/>
        <v>3276</v>
      </c>
      <c r="V45" s="50">
        <f t="shared" si="13"/>
        <v>3276</v>
      </c>
    </row>
    <row r="46" spans="4:22" ht="18.75" x14ac:dyDescent="0.3">
      <c r="D46" t="s">
        <v>45</v>
      </c>
      <c r="E46" s="17">
        <v>1</v>
      </c>
      <c r="F46" s="66">
        <v>42808</v>
      </c>
      <c r="G46" s="67">
        <f t="shared" si="19"/>
        <v>15715.1</v>
      </c>
      <c r="H46" s="67">
        <v>0</v>
      </c>
      <c r="I46" s="67">
        <v>0</v>
      </c>
      <c r="J46" s="68">
        <v>-56.25</v>
      </c>
      <c r="K46" s="67">
        <f>J46*B6</f>
        <v>-27.5625</v>
      </c>
      <c r="L46" s="69">
        <f t="shared" si="16"/>
        <v>-826.875</v>
      </c>
      <c r="M46" s="67">
        <f t="shared" si="17"/>
        <v>14888.225</v>
      </c>
      <c r="N46" s="70">
        <f t="shared" si="18"/>
        <v>-5.2616591685703561E-2</v>
      </c>
      <c r="Q46" s="94">
        <v>43083</v>
      </c>
      <c r="R46" s="55">
        <f t="shared" si="14"/>
        <v>30315.7925</v>
      </c>
      <c r="S46" s="94">
        <v>43083</v>
      </c>
      <c r="T46" s="54">
        <f t="shared" si="15"/>
        <v>1207.5</v>
      </c>
      <c r="V46" s="50">
        <f t="shared" si="13"/>
        <v>1207.5</v>
      </c>
    </row>
    <row r="47" spans="4:22" ht="18.75" x14ac:dyDescent="0.3">
      <c r="D47" t="s">
        <v>46</v>
      </c>
      <c r="E47" s="17">
        <v>1</v>
      </c>
      <c r="F47" s="66">
        <v>42839</v>
      </c>
      <c r="G47" s="67">
        <f t="shared" si="19"/>
        <v>14888.225</v>
      </c>
      <c r="H47" s="67">
        <v>0</v>
      </c>
      <c r="I47" s="67">
        <v>0</v>
      </c>
      <c r="J47" s="71">
        <v>7825</v>
      </c>
      <c r="K47" s="67">
        <f>J47*B5</f>
        <v>3286.5</v>
      </c>
      <c r="L47" s="69">
        <f t="shared" si="16"/>
        <v>3286.5</v>
      </c>
      <c r="M47" s="67">
        <f t="shared" si="17"/>
        <v>18174.724999999999</v>
      </c>
      <c r="N47" s="70">
        <f t="shared" si="18"/>
        <v>0.22074491754389794</v>
      </c>
      <c r="Q47" s="94">
        <v>42750</v>
      </c>
      <c r="R47" s="55">
        <f>V47+R46</f>
        <v>36678.792499999996</v>
      </c>
      <c r="S47" s="94">
        <v>42750</v>
      </c>
      <c r="T47" s="54">
        <f t="shared" si="15"/>
        <v>6363</v>
      </c>
      <c r="V47" s="50">
        <f t="shared" ref="V47:V58" si="20">L59</f>
        <v>6363</v>
      </c>
    </row>
    <row r="48" spans="4:22" ht="18.75" x14ac:dyDescent="0.3">
      <c r="D48" t="s">
        <v>47</v>
      </c>
      <c r="E48" s="17">
        <v>20</v>
      </c>
      <c r="F48" s="66">
        <v>42869</v>
      </c>
      <c r="G48" s="67">
        <f t="shared" si="19"/>
        <v>18174.724999999999</v>
      </c>
      <c r="H48" s="67">
        <v>0</v>
      </c>
      <c r="I48" s="67">
        <v>0</v>
      </c>
      <c r="J48" s="71">
        <v>6075</v>
      </c>
      <c r="K48" s="67">
        <f>J48*B5</f>
        <v>2551.5</v>
      </c>
      <c r="L48" s="69">
        <f t="shared" si="16"/>
        <v>2551.5</v>
      </c>
      <c r="M48" s="67">
        <f t="shared" si="17"/>
        <v>20726.224999999999</v>
      </c>
      <c r="N48" s="70">
        <f t="shared" si="18"/>
        <v>0.14038726858315601</v>
      </c>
      <c r="Q48" s="94">
        <v>42781</v>
      </c>
      <c r="R48" s="55">
        <f t="shared" ref="R48:R58" si="21">R47+V48</f>
        <v>37053.117499999993</v>
      </c>
      <c r="S48" s="94">
        <v>42781</v>
      </c>
      <c r="T48" s="54">
        <f t="shared" si="15"/>
        <v>374.32500000000005</v>
      </c>
      <c r="V48" s="50">
        <f t="shared" si="20"/>
        <v>374.32500000000005</v>
      </c>
    </row>
    <row r="49" spans="4:22" ht="18.75" x14ac:dyDescent="0.3">
      <c r="D49" t="s">
        <v>48</v>
      </c>
      <c r="E49" s="17">
        <v>-2</v>
      </c>
      <c r="F49" s="66">
        <v>42900</v>
      </c>
      <c r="G49" s="67">
        <f t="shared" si="19"/>
        <v>20726.224999999999</v>
      </c>
      <c r="H49" s="67">
        <v>0</v>
      </c>
      <c r="I49" s="67">
        <v>0</v>
      </c>
      <c r="J49" s="71">
        <v>25</v>
      </c>
      <c r="K49" s="67">
        <f>J49*B5</f>
        <v>10.5</v>
      </c>
      <c r="L49" s="69">
        <f t="shared" si="16"/>
        <v>210</v>
      </c>
      <c r="M49" s="67">
        <f t="shared" si="17"/>
        <v>20936.224999999999</v>
      </c>
      <c r="N49" s="70">
        <f t="shared" si="18"/>
        <v>1.0132091106798273E-2</v>
      </c>
      <c r="Q49" s="94">
        <v>42809</v>
      </c>
      <c r="R49" s="55">
        <f t="shared" si="21"/>
        <v>41187.492499999993</v>
      </c>
      <c r="S49" s="94">
        <v>42809</v>
      </c>
      <c r="T49" s="54">
        <f t="shared" si="15"/>
        <v>4134.375</v>
      </c>
      <c r="V49" s="50">
        <f t="shared" si="20"/>
        <v>4134.375</v>
      </c>
    </row>
    <row r="50" spans="4:22" ht="18.75" x14ac:dyDescent="0.3">
      <c r="D50" t="s">
        <v>57</v>
      </c>
      <c r="E50" s="17">
        <v>1</v>
      </c>
      <c r="F50" s="66">
        <v>42930</v>
      </c>
      <c r="G50" s="67">
        <f t="shared" si="19"/>
        <v>20936.224999999999</v>
      </c>
      <c r="H50" s="67">
        <v>0</v>
      </c>
      <c r="I50" s="67">
        <v>0</v>
      </c>
      <c r="J50" s="68">
        <v>-1368.75</v>
      </c>
      <c r="K50" s="67">
        <f>J50*B6</f>
        <v>-670.6875</v>
      </c>
      <c r="L50" s="69">
        <f t="shared" si="16"/>
        <v>1341.375</v>
      </c>
      <c r="M50" s="67">
        <f t="shared" si="17"/>
        <v>22277.599999999999</v>
      </c>
      <c r="N50" s="70">
        <f t="shared" si="18"/>
        <v>6.4069573191919749E-2</v>
      </c>
      <c r="Q50" s="94">
        <v>42840</v>
      </c>
      <c r="R50" s="55">
        <f t="shared" si="21"/>
        <v>39483.211249999993</v>
      </c>
      <c r="S50" s="94">
        <v>42840</v>
      </c>
      <c r="U50" s="54">
        <f>V50</f>
        <v>-1704.28125</v>
      </c>
      <c r="V50" s="50">
        <f t="shared" si="20"/>
        <v>-1704.28125</v>
      </c>
    </row>
    <row r="51" spans="4:22" ht="18.75" x14ac:dyDescent="0.3">
      <c r="D51" t="s">
        <v>49</v>
      </c>
      <c r="E51" s="17">
        <f>0.1</f>
        <v>0.1</v>
      </c>
      <c r="F51" s="66">
        <v>42961</v>
      </c>
      <c r="G51" s="67">
        <f t="shared" si="19"/>
        <v>22277.599999999999</v>
      </c>
      <c r="H51" s="67">
        <v>0</v>
      </c>
      <c r="I51" s="67">
        <v>0</v>
      </c>
      <c r="J51" s="71">
        <v>4375</v>
      </c>
      <c r="K51" s="67">
        <f>J51*B5</f>
        <v>1837.5</v>
      </c>
      <c r="L51" s="69">
        <f t="shared" si="16"/>
        <v>1837.5</v>
      </c>
      <c r="M51" s="67">
        <f t="shared" si="17"/>
        <v>24115.1</v>
      </c>
      <c r="N51" s="70">
        <f t="shared" si="18"/>
        <v>8.2481954968219209E-2</v>
      </c>
      <c r="Q51" s="94">
        <v>42870</v>
      </c>
      <c r="R51" s="55">
        <f t="shared" si="21"/>
        <v>39232.392499999994</v>
      </c>
      <c r="S51" s="94">
        <v>42870</v>
      </c>
      <c r="U51" s="54">
        <f>V51</f>
        <v>-250.81875000000002</v>
      </c>
      <c r="V51" s="50">
        <f t="shared" si="20"/>
        <v>-250.81875000000002</v>
      </c>
    </row>
    <row r="52" spans="4:22" ht="18.75" x14ac:dyDescent="0.3">
      <c r="D52" t="s">
        <v>51</v>
      </c>
      <c r="E52" s="17">
        <f>-1.3</f>
        <v>-1.3</v>
      </c>
      <c r="F52" s="66">
        <v>42992</v>
      </c>
      <c r="G52" s="67">
        <f t="shared" si="19"/>
        <v>24115.1</v>
      </c>
      <c r="H52" s="67">
        <v>0</v>
      </c>
      <c r="I52" s="67">
        <v>0</v>
      </c>
      <c r="J52" s="71">
        <v>7050</v>
      </c>
      <c r="K52" s="67">
        <f>J52*B5</f>
        <v>2961</v>
      </c>
      <c r="L52" s="69">
        <f t="shared" si="16"/>
        <v>296.10000000000002</v>
      </c>
      <c r="M52" s="67">
        <f t="shared" si="17"/>
        <v>24411.199999999997</v>
      </c>
      <c r="N52" s="70">
        <f t="shared" si="18"/>
        <v>1.2278613814580907E-2</v>
      </c>
      <c r="Q52" s="94">
        <v>42901</v>
      </c>
      <c r="R52" s="55">
        <f t="shared" si="21"/>
        <v>40052.179999999993</v>
      </c>
      <c r="S52" s="94">
        <v>42901</v>
      </c>
      <c r="T52" s="54">
        <f>V52</f>
        <v>819.78750000000002</v>
      </c>
      <c r="V52" s="50">
        <f t="shared" si="20"/>
        <v>819.78750000000002</v>
      </c>
    </row>
    <row r="53" spans="4:22" ht="18.75" x14ac:dyDescent="0.3">
      <c r="D53" t="s">
        <v>50</v>
      </c>
      <c r="E53" s="17">
        <v>2</v>
      </c>
      <c r="F53" s="66">
        <v>43022</v>
      </c>
      <c r="G53" s="67">
        <f t="shared" si="19"/>
        <v>24411.199999999997</v>
      </c>
      <c r="H53" s="67">
        <v>0</v>
      </c>
      <c r="I53" s="67">
        <v>0</v>
      </c>
      <c r="J53" s="71">
        <v>2512.5</v>
      </c>
      <c r="K53" s="67">
        <f>J53*B5</f>
        <v>1055.25</v>
      </c>
      <c r="L53" s="69">
        <f t="shared" si="16"/>
        <v>-1371.825</v>
      </c>
      <c r="M53" s="67">
        <f t="shared" si="17"/>
        <v>23039.374999999996</v>
      </c>
      <c r="N53" s="70">
        <f t="shared" si="18"/>
        <v>-5.6196540932031205E-2</v>
      </c>
      <c r="Q53" s="94">
        <v>42931</v>
      </c>
      <c r="R53" s="55">
        <f t="shared" si="21"/>
        <v>42005.179999999993</v>
      </c>
      <c r="S53" s="94">
        <v>42931</v>
      </c>
      <c r="T53" s="54">
        <f>V53</f>
        <v>1953</v>
      </c>
      <c r="V53" s="50">
        <f t="shared" si="20"/>
        <v>1953</v>
      </c>
    </row>
    <row r="54" spans="4:22" ht="18.75" x14ac:dyDescent="0.3">
      <c r="D54" t="s">
        <v>52</v>
      </c>
      <c r="E54" s="17">
        <v>1</v>
      </c>
      <c r="F54" s="66">
        <v>43053</v>
      </c>
      <c r="G54" s="67">
        <f t="shared" si="19"/>
        <v>23039.374999999996</v>
      </c>
      <c r="H54" s="67">
        <v>0</v>
      </c>
      <c r="I54" s="67">
        <v>0</v>
      </c>
      <c r="J54" s="71">
        <v>3900</v>
      </c>
      <c r="K54" s="67">
        <f>J54*B5</f>
        <v>1638</v>
      </c>
      <c r="L54" s="69">
        <f t="shared" si="16"/>
        <v>3276</v>
      </c>
      <c r="M54" s="67">
        <f t="shared" si="17"/>
        <v>26315.374999999996</v>
      </c>
      <c r="N54" s="70">
        <f t="shared" si="18"/>
        <v>0.14219135718742373</v>
      </c>
      <c r="Q54" s="94">
        <v>42962</v>
      </c>
      <c r="R54" s="55">
        <f t="shared" si="21"/>
        <v>39735.867499999993</v>
      </c>
      <c r="S54" s="94">
        <v>42962</v>
      </c>
      <c r="U54" s="54">
        <f>V54</f>
        <v>-2269.3125</v>
      </c>
      <c r="V54" s="50">
        <f t="shared" si="20"/>
        <v>-2269.3125</v>
      </c>
    </row>
    <row r="55" spans="4:22" ht="18.75" x14ac:dyDescent="0.3">
      <c r="F55" s="66">
        <v>43083</v>
      </c>
      <c r="G55" s="67">
        <f t="shared" si="19"/>
        <v>26315.374999999996</v>
      </c>
      <c r="H55" s="67">
        <v>0</v>
      </c>
      <c r="I55" s="67">
        <v>0</v>
      </c>
      <c r="J55" s="71">
        <v>2875</v>
      </c>
      <c r="K55" s="67">
        <f>J55*B5</f>
        <v>1207.5</v>
      </c>
      <c r="L55" s="69">
        <f t="shared" si="16"/>
        <v>1207.5</v>
      </c>
      <c r="M55" s="67">
        <f t="shared" si="17"/>
        <v>27522.874999999996</v>
      </c>
      <c r="N55" s="70">
        <f t="shared" si="18"/>
        <v>4.5885722700132532E-2</v>
      </c>
      <c r="Q55" s="94">
        <v>42993</v>
      </c>
      <c r="R55" s="55">
        <f t="shared" si="21"/>
        <v>40426.767499999994</v>
      </c>
      <c r="S55" s="94">
        <v>42993</v>
      </c>
      <c r="T55" s="54">
        <f>V55</f>
        <v>690.90000000000009</v>
      </c>
      <c r="U55" s="54"/>
      <c r="V55" s="50">
        <f t="shared" si="20"/>
        <v>690.90000000000009</v>
      </c>
    </row>
    <row r="56" spans="4:22" ht="18.75" x14ac:dyDescent="0.3">
      <c r="F56" s="72"/>
      <c r="G56" s="72"/>
      <c r="H56" s="72"/>
      <c r="I56" s="72"/>
      <c r="J56" s="73" t="s">
        <v>11</v>
      </c>
      <c r="K56" s="72" t="s">
        <v>11</v>
      </c>
      <c r="L56" s="72" t="s">
        <v>11</v>
      </c>
      <c r="M56" s="72"/>
      <c r="N56" s="72" t="s">
        <v>11</v>
      </c>
      <c r="Q56" s="94">
        <v>43023</v>
      </c>
      <c r="R56" s="55">
        <f t="shared" si="21"/>
        <v>45340.767499999994</v>
      </c>
      <c r="S56" s="94">
        <v>43023</v>
      </c>
      <c r="T56" s="54">
        <f>V56</f>
        <v>4914</v>
      </c>
      <c r="V56" s="50">
        <f t="shared" si="20"/>
        <v>4914</v>
      </c>
    </row>
    <row r="57" spans="4:22" ht="18.75" x14ac:dyDescent="0.3">
      <c r="F57" s="72"/>
      <c r="G57" s="72"/>
      <c r="H57" s="72"/>
      <c r="I57" s="72"/>
      <c r="J57" s="75">
        <v>43950</v>
      </c>
      <c r="K57" s="67"/>
      <c r="L57" s="80">
        <f>SUM(L44:L56)</f>
        <v>15022.875</v>
      </c>
      <c r="M57" s="81"/>
      <c r="N57" s="78">
        <f>L57/G44</f>
        <v>1.20183</v>
      </c>
      <c r="P57" s="54">
        <f>L57</f>
        <v>15022.875</v>
      </c>
      <c r="Q57" s="94">
        <v>43054</v>
      </c>
      <c r="R57" s="55">
        <f t="shared" si="21"/>
        <v>43049.142499999994</v>
      </c>
      <c r="S57" s="94">
        <v>43054</v>
      </c>
      <c r="T57" s="54"/>
      <c r="U57" s="54">
        <f>V57</f>
        <v>-2291.625</v>
      </c>
      <c r="V57" s="50">
        <f t="shared" si="20"/>
        <v>-2291.625</v>
      </c>
    </row>
    <row r="58" spans="4:22" ht="18.75" x14ac:dyDescent="0.3">
      <c r="D58" t="s">
        <v>42</v>
      </c>
      <c r="E58" s="17">
        <v>1</v>
      </c>
      <c r="F58" s="72"/>
      <c r="G58" s="72"/>
      <c r="H58" s="72"/>
      <c r="I58" s="72"/>
      <c r="J58" s="79"/>
      <c r="K58" s="72"/>
      <c r="L58" s="74"/>
      <c r="M58" s="74"/>
      <c r="N58" s="72"/>
      <c r="O58" s="29">
        <v>12</v>
      </c>
      <c r="Q58" s="94">
        <v>43084</v>
      </c>
      <c r="R58" s="55">
        <f t="shared" si="21"/>
        <v>43007.142499999994</v>
      </c>
      <c r="S58" s="94">
        <v>43084</v>
      </c>
      <c r="T58" s="54"/>
      <c r="U58" s="54">
        <f>V58</f>
        <v>-42</v>
      </c>
      <c r="V58" s="50">
        <f t="shared" si="20"/>
        <v>-42</v>
      </c>
    </row>
    <row r="59" spans="4:22" ht="18.75" x14ac:dyDescent="0.3">
      <c r="D59" t="s">
        <v>43</v>
      </c>
      <c r="E59" s="17">
        <v>0.1</v>
      </c>
      <c r="F59" s="66">
        <v>42750</v>
      </c>
      <c r="G59" s="67">
        <f>B4</f>
        <v>12500</v>
      </c>
      <c r="H59" s="67">
        <v>0</v>
      </c>
      <c r="I59" s="67">
        <f>-L57</f>
        <v>-15022.875</v>
      </c>
      <c r="J59" s="71">
        <v>15150</v>
      </c>
      <c r="K59" s="67">
        <f>J59*B5</f>
        <v>6363</v>
      </c>
      <c r="L59" s="69">
        <f t="shared" ref="L59:L70" si="22">K59*E58</f>
        <v>6363</v>
      </c>
      <c r="M59" s="67">
        <f t="shared" ref="M59:M70" si="23">G59+L59</f>
        <v>18863</v>
      </c>
      <c r="N59" s="70">
        <f t="shared" ref="N59:N70" si="24">L59/G59</f>
        <v>0.50904000000000005</v>
      </c>
      <c r="Q59" s="94">
        <v>42751</v>
      </c>
      <c r="R59" s="55">
        <f>V59+R58</f>
        <v>42156.642499999994</v>
      </c>
      <c r="S59" s="94">
        <v>42751</v>
      </c>
      <c r="T59" s="54"/>
      <c r="U59" s="54">
        <f>V59</f>
        <v>-850.5</v>
      </c>
      <c r="V59" s="50">
        <f t="shared" ref="V59:V70" si="25">L74</f>
        <v>-850.5</v>
      </c>
    </row>
    <row r="60" spans="4:22" ht="18.75" x14ac:dyDescent="0.3">
      <c r="D60" t="s">
        <v>44</v>
      </c>
      <c r="E60" s="17">
        <v>1</v>
      </c>
      <c r="F60" s="66">
        <v>42781</v>
      </c>
      <c r="G60" s="67">
        <f t="shared" ref="G60:G70" si="26">M59</f>
        <v>18863</v>
      </c>
      <c r="H60" s="67">
        <v>0</v>
      </c>
      <c r="I60" s="67">
        <v>0</v>
      </c>
      <c r="J60" s="71">
        <v>8912.5</v>
      </c>
      <c r="K60" s="67">
        <f>J60*B5</f>
        <v>3743.25</v>
      </c>
      <c r="L60" s="69">
        <f t="shared" si="22"/>
        <v>374.32500000000005</v>
      </c>
      <c r="M60" s="67">
        <f t="shared" si="23"/>
        <v>19237.325000000001</v>
      </c>
      <c r="N60" s="70">
        <f t="shared" si="24"/>
        <v>1.9844404389545673E-2</v>
      </c>
      <c r="Q60" s="94">
        <v>42782</v>
      </c>
      <c r="R60" s="55">
        <f t="shared" ref="R60:R70" si="27">R59+V60</f>
        <v>40139.067499999997</v>
      </c>
      <c r="S60" s="94">
        <v>42782</v>
      </c>
      <c r="T60" s="54"/>
      <c r="U60" s="54">
        <f>V60</f>
        <v>-2017.5749999999998</v>
      </c>
      <c r="V60" s="50">
        <f t="shared" si="25"/>
        <v>-2017.5749999999998</v>
      </c>
    </row>
    <row r="61" spans="4:22" ht="18.75" x14ac:dyDescent="0.3">
      <c r="D61" t="s">
        <v>45</v>
      </c>
      <c r="E61" s="17">
        <v>0.5</v>
      </c>
      <c r="F61" s="66">
        <v>42809</v>
      </c>
      <c r="G61" s="67">
        <f t="shared" si="26"/>
        <v>19237.325000000001</v>
      </c>
      <c r="H61" s="67">
        <v>0</v>
      </c>
      <c r="I61" s="67">
        <v>0</v>
      </c>
      <c r="J61" s="71">
        <v>9843.75</v>
      </c>
      <c r="K61" s="67">
        <f>J61*B5</f>
        <v>4134.375</v>
      </c>
      <c r="L61" s="69">
        <f t="shared" si="22"/>
        <v>4134.375</v>
      </c>
      <c r="M61" s="67">
        <f t="shared" si="23"/>
        <v>23371.7</v>
      </c>
      <c r="N61" s="70">
        <f t="shared" si="24"/>
        <v>0.21491423573703725</v>
      </c>
      <c r="Q61" s="94">
        <v>42810</v>
      </c>
      <c r="R61" s="55">
        <f t="shared" si="27"/>
        <v>42619.692499999997</v>
      </c>
      <c r="S61" s="94">
        <v>42810</v>
      </c>
      <c r="T61" s="54">
        <f>V61</f>
        <v>2480.625</v>
      </c>
      <c r="U61" s="54"/>
      <c r="V61" s="50">
        <f t="shared" si="25"/>
        <v>2480.625</v>
      </c>
    </row>
    <row r="62" spans="4:22" ht="18.75" x14ac:dyDescent="0.3">
      <c r="D62" t="s">
        <v>46</v>
      </c>
      <c r="E62" s="17">
        <v>0.1</v>
      </c>
      <c r="F62" s="66">
        <v>42840</v>
      </c>
      <c r="G62" s="67">
        <f t="shared" si="26"/>
        <v>23371.7</v>
      </c>
      <c r="H62" s="67">
        <v>0</v>
      </c>
      <c r="I62" s="67">
        <v>0</v>
      </c>
      <c r="J62" s="68">
        <v>-6956.25</v>
      </c>
      <c r="K62" s="67">
        <f>J62*B6</f>
        <v>-3408.5625</v>
      </c>
      <c r="L62" s="69">
        <f t="shared" si="22"/>
        <v>-1704.28125</v>
      </c>
      <c r="M62" s="67">
        <f t="shared" si="23"/>
        <v>21667.418750000001</v>
      </c>
      <c r="N62" s="70">
        <f t="shared" si="24"/>
        <v>-7.2920722497721607E-2</v>
      </c>
      <c r="Q62" s="94">
        <v>42841</v>
      </c>
      <c r="R62" s="55">
        <f t="shared" si="27"/>
        <v>41265.192499999997</v>
      </c>
      <c r="S62" s="94">
        <v>42841</v>
      </c>
      <c r="U62" s="54">
        <f>V62</f>
        <v>-1354.5</v>
      </c>
      <c r="V62" s="50">
        <f t="shared" si="25"/>
        <v>-1354.5</v>
      </c>
    </row>
    <row r="63" spans="4:22" ht="18.75" x14ac:dyDescent="0.3">
      <c r="D63" t="s">
        <v>47</v>
      </c>
      <c r="E63" s="17">
        <v>0.3</v>
      </c>
      <c r="F63" s="66">
        <v>42870</v>
      </c>
      <c r="G63" s="67">
        <f t="shared" si="26"/>
        <v>21667.418750000001</v>
      </c>
      <c r="H63" s="67">
        <v>0</v>
      </c>
      <c r="I63" s="67">
        <v>0</v>
      </c>
      <c r="J63" s="68">
        <v>-5118.75</v>
      </c>
      <c r="K63" s="67">
        <f>J63*B6</f>
        <v>-2508.1875</v>
      </c>
      <c r="L63" s="69">
        <f t="shared" si="22"/>
        <v>-250.81875000000002</v>
      </c>
      <c r="M63" s="67">
        <f t="shared" si="23"/>
        <v>21416.600000000002</v>
      </c>
      <c r="N63" s="70">
        <f t="shared" si="24"/>
        <v>-1.1575848184500519E-2</v>
      </c>
      <c r="Q63" s="94">
        <v>42871</v>
      </c>
      <c r="R63" s="55">
        <f t="shared" si="27"/>
        <v>42963.042499999996</v>
      </c>
      <c r="S63" s="94">
        <v>42871</v>
      </c>
      <c r="T63" s="54">
        <f>V63</f>
        <v>1697.85</v>
      </c>
      <c r="U63" s="54"/>
      <c r="V63" s="50">
        <f t="shared" si="25"/>
        <v>1697.85</v>
      </c>
    </row>
    <row r="64" spans="4:22" ht="18.75" x14ac:dyDescent="0.3">
      <c r="D64" t="s">
        <v>48</v>
      </c>
      <c r="E64" s="17">
        <v>1</v>
      </c>
      <c r="F64" s="66">
        <v>42901</v>
      </c>
      <c r="G64" s="67">
        <f t="shared" si="26"/>
        <v>21416.600000000002</v>
      </c>
      <c r="H64" s="67">
        <v>0</v>
      </c>
      <c r="I64" s="67">
        <v>0</v>
      </c>
      <c r="J64" s="71">
        <v>6506.25</v>
      </c>
      <c r="K64" s="67">
        <f>J64*B5</f>
        <v>2732.625</v>
      </c>
      <c r="L64" s="69">
        <f t="shared" si="22"/>
        <v>819.78750000000002</v>
      </c>
      <c r="M64" s="67">
        <f t="shared" si="23"/>
        <v>22236.387500000001</v>
      </c>
      <c r="N64" s="70">
        <f t="shared" si="24"/>
        <v>3.8278134717929083E-2</v>
      </c>
      <c r="Q64" s="94">
        <v>42902</v>
      </c>
      <c r="R64" s="55">
        <f t="shared" si="27"/>
        <v>41978.142499999994</v>
      </c>
      <c r="S64" s="94">
        <v>42902</v>
      </c>
      <c r="T64" s="54"/>
      <c r="U64" s="54">
        <f>V64</f>
        <v>-984.90000000000009</v>
      </c>
      <c r="V64" s="50">
        <f t="shared" si="25"/>
        <v>-984.90000000000009</v>
      </c>
    </row>
    <row r="65" spans="4:22" ht="18.75" x14ac:dyDescent="0.3">
      <c r="D65" t="s">
        <v>57</v>
      </c>
      <c r="E65" s="17">
        <v>1</v>
      </c>
      <c r="F65" s="66">
        <v>42931</v>
      </c>
      <c r="G65" s="67">
        <f t="shared" si="26"/>
        <v>22236.387500000001</v>
      </c>
      <c r="H65" s="67">
        <v>0</v>
      </c>
      <c r="I65" s="67">
        <v>0</v>
      </c>
      <c r="J65" s="71">
        <v>4650</v>
      </c>
      <c r="K65" s="67">
        <f>J65*B5</f>
        <v>1953</v>
      </c>
      <c r="L65" s="69">
        <f t="shared" si="22"/>
        <v>1953</v>
      </c>
      <c r="M65" s="67">
        <f t="shared" si="23"/>
        <v>24189.387500000001</v>
      </c>
      <c r="N65" s="70">
        <f t="shared" si="24"/>
        <v>8.7829014492574381E-2</v>
      </c>
      <c r="Q65" s="94">
        <v>42932</v>
      </c>
      <c r="R65" s="55">
        <f t="shared" si="27"/>
        <v>44395.767499999994</v>
      </c>
      <c r="S65" s="94">
        <v>42932</v>
      </c>
      <c r="T65" s="54">
        <f>V65</f>
        <v>2417.625</v>
      </c>
      <c r="V65" s="50">
        <f t="shared" si="25"/>
        <v>2417.625</v>
      </c>
    </row>
    <row r="66" spans="4:22" ht="18.75" x14ac:dyDescent="0.3">
      <c r="D66" t="s">
        <v>49</v>
      </c>
      <c r="E66" s="17">
        <v>-0.8</v>
      </c>
      <c r="F66" s="66">
        <v>42962</v>
      </c>
      <c r="G66" s="67">
        <f t="shared" si="26"/>
        <v>24189.387500000001</v>
      </c>
      <c r="H66" s="67">
        <v>0</v>
      </c>
      <c r="I66" s="67">
        <v>0</v>
      </c>
      <c r="J66" s="68">
        <v>-4631.25</v>
      </c>
      <c r="K66" s="67">
        <f>J66*B6</f>
        <v>-2269.3125</v>
      </c>
      <c r="L66" s="69">
        <f t="shared" si="22"/>
        <v>-2269.3125</v>
      </c>
      <c r="M66" s="67">
        <f t="shared" si="23"/>
        <v>21920.075000000001</v>
      </c>
      <c r="N66" s="70">
        <f t="shared" si="24"/>
        <v>-9.3814384510562746E-2</v>
      </c>
      <c r="Q66" s="94">
        <v>42963</v>
      </c>
      <c r="R66" s="55">
        <f t="shared" si="27"/>
        <v>47947.392499999994</v>
      </c>
      <c r="S66" s="94">
        <v>42963</v>
      </c>
      <c r="T66" s="54">
        <f>V66</f>
        <v>3551.6250000000005</v>
      </c>
      <c r="V66" s="50">
        <f t="shared" si="25"/>
        <v>3551.6250000000005</v>
      </c>
    </row>
    <row r="67" spans="4:22" ht="18.75" x14ac:dyDescent="0.3">
      <c r="D67" t="s">
        <v>51</v>
      </c>
      <c r="E67" s="17">
        <v>0.6</v>
      </c>
      <c r="F67" s="66">
        <v>42993</v>
      </c>
      <c r="G67" s="67">
        <f t="shared" si="26"/>
        <v>21920.075000000001</v>
      </c>
      <c r="H67" s="67">
        <v>0</v>
      </c>
      <c r="I67" s="67">
        <v>0</v>
      </c>
      <c r="J67" s="68">
        <v>-1762.5</v>
      </c>
      <c r="K67" s="67">
        <f>J67*B6</f>
        <v>-863.625</v>
      </c>
      <c r="L67" s="69">
        <f t="shared" si="22"/>
        <v>690.90000000000009</v>
      </c>
      <c r="M67" s="67">
        <f t="shared" si="23"/>
        <v>22610.975000000002</v>
      </c>
      <c r="N67" s="70">
        <f t="shared" si="24"/>
        <v>3.151905274046736E-2</v>
      </c>
      <c r="Q67" s="94">
        <v>42994</v>
      </c>
      <c r="R67" s="55">
        <f t="shared" si="27"/>
        <v>49501.917499999996</v>
      </c>
      <c r="S67" s="94">
        <v>42994</v>
      </c>
      <c r="T67" s="54">
        <f>V67</f>
        <v>1554.5250000000001</v>
      </c>
      <c r="U67" s="54"/>
      <c r="V67" s="50">
        <f t="shared" si="25"/>
        <v>1554.5250000000001</v>
      </c>
    </row>
    <row r="68" spans="4:22" ht="18.75" x14ac:dyDescent="0.3">
      <c r="D68" t="s">
        <v>50</v>
      </c>
      <c r="E68" s="17">
        <v>-0.5</v>
      </c>
      <c r="F68" s="66">
        <v>43023</v>
      </c>
      <c r="G68" s="67">
        <f t="shared" si="26"/>
        <v>22610.975000000002</v>
      </c>
      <c r="H68" s="67">
        <v>0</v>
      </c>
      <c r="I68" s="67">
        <v>0</v>
      </c>
      <c r="J68" s="71">
        <v>19500</v>
      </c>
      <c r="K68" s="67">
        <f>J68*B5</f>
        <v>8190</v>
      </c>
      <c r="L68" s="69">
        <f t="shared" si="22"/>
        <v>4914</v>
      </c>
      <c r="M68" s="67">
        <f t="shared" si="23"/>
        <v>27524.975000000002</v>
      </c>
      <c r="N68" s="70">
        <f t="shared" si="24"/>
        <v>0.21732808956712391</v>
      </c>
      <c r="Q68" s="94">
        <v>43024</v>
      </c>
      <c r="R68" s="55">
        <f t="shared" si="27"/>
        <v>48371.854999999996</v>
      </c>
      <c r="S68" s="94">
        <v>43024</v>
      </c>
      <c r="U68" s="54">
        <f>V68</f>
        <v>-1130.0625</v>
      </c>
      <c r="V68" s="50">
        <f t="shared" si="25"/>
        <v>-1130.0625</v>
      </c>
    </row>
    <row r="69" spans="4:22" ht="18.75" x14ac:dyDescent="0.3">
      <c r="D69" t="s">
        <v>52</v>
      </c>
      <c r="E69" s="17">
        <v>-1</v>
      </c>
      <c r="F69" s="66">
        <v>43054</v>
      </c>
      <c r="G69" s="67">
        <f t="shared" si="26"/>
        <v>27524.975000000002</v>
      </c>
      <c r="H69" s="67">
        <v>0</v>
      </c>
      <c r="I69" s="67">
        <v>0</v>
      </c>
      <c r="J69" s="71">
        <v>10912.5</v>
      </c>
      <c r="K69" s="67">
        <f>J69*B5</f>
        <v>4583.25</v>
      </c>
      <c r="L69" s="69">
        <f t="shared" si="22"/>
        <v>-2291.625</v>
      </c>
      <c r="M69" s="67">
        <f t="shared" si="23"/>
        <v>25233.350000000002</v>
      </c>
      <c r="N69" s="70">
        <f t="shared" si="24"/>
        <v>-8.325620640890681E-2</v>
      </c>
      <c r="Q69" s="94">
        <v>43055</v>
      </c>
      <c r="R69" s="55">
        <f t="shared" si="27"/>
        <v>52687.354999999996</v>
      </c>
      <c r="S69" s="94">
        <v>43055</v>
      </c>
      <c r="T69" s="54">
        <f>V69</f>
        <v>4315.5</v>
      </c>
      <c r="V69" s="50">
        <f t="shared" si="25"/>
        <v>4315.5</v>
      </c>
    </row>
    <row r="70" spans="4:22" ht="18.75" x14ac:dyDescent="0.3">
      <c r="F70" s="66">
        <v>43084</v>
      </c>
      <c r="G70" s="67">
        <f t="shared" si="26"/>
        <v>25233.350000000002</v>
      </c>
      <c r="H70" s="67">
        <v>0</v>
      </c>
      <c r="I70" s="67">
        <v>0</v>
      </c>
      <c r="J70" s="71">
        <v>100</v>
      </c>
      <c r="K70" s="67">
        <f>J70*B5</f>
        <v>42</v>
      </c>
      <c r="L70" s="69">
        <f t="shared" si="22"/>
        <v>-42</v>
      </c>
      <c r="M70" s="67">
        <f t="shared" si="23"/>
        <v>25191.350000000002</v>
      </c>
      <c r="N70" s="70">
        <f t="shared" si="24"/>
        <v>-1.66446389401328E-3</v>
      </c>
      <c r="Q70" s="94">
        <v>43085</v>
      </c>
      <c r="R70" s="55">
        <f t="shared" si="27"/>
        <v>52183.354999999996</v>
      </c>
      <c r="S70" s="94">
        <v>43085</v>
      </c>
      <c r="T70" s="54"/>
      <c r="U70" s="54">
        <f>V70</f>
        <v>-504</v>
      </c>
      <c r="V70" s="50">
        <f t="shared" si="25"/>
        <v>-504</v>
      </c>
    </row>
    <row r="71" spans="4:22" ht="18.75" x14ac:dyDescent="0.3">
      <c r="F71" s="72"/>
      <c r="G71" s="72"/>
      <c r="H71" s="72"/>
      <c r="I71" s="72"/>
      <c r="J71" s="73" t="s">
        <v>11</v>
      </c>
      <c r="K71" s="72" t="s">
        <v>11</v>
      </c>
      <c r="L71" s="72" t="s">
        <v>11</v>
      </c>
      <c r="M71" s="72"/>
      <c r="N71" s="72" t="s">
        <v>11</v>
      </c>
      <c r="Q71" s="94">
        <v>42752</v>
      </c>
      <c r="R71" s="55">
        <f>V71+R70</f>
        <v>54026.42</v>
      </c>
      <c r="S71" s="94">
        <v>42752</v>
      </c>
      <c r="T71" s="54">
        <f>V71</f>
        <v>1843.0649999999998</v>
      </c>
      <c r="V71" s="50">
        <f t="shared" ref="V71:V82" si="28">L89</f>
        <v>1843.0649999999998</v>
      </c>
    </row>
    <row r="72" spans="4:22" ht="18.75" x14ac:dyDescent="0.3">
      <c r="F72" s="72"/>
      <c r="G72" s="72"/>
      <c r="H72" s="72"/>
      <c r="I72" s="72"/>
      <c r="J72" s="75">
        <v>57106.25</v>
      </c>
      <c r="K72" s="67"/>
      <c r="L72" s="80">
        <f>SUM(L59:L71)</f>
        <v>12691.35</v>
      </c>
      <c r="M72" s="82"/>
      <c r="N72" s="78">
        <f>L72/G59</f>
        <v>1.0153080000000001</v>
      </c>
      <c r="P72" s="54">
        <f>L72</f>
        <v>12691.35</v>
      </c>
      <c r="Q72" s="94">
        <v>42783</v>
      </c>
      <c r="R72" s="55">
        <f t="shared" ref="R72:R82" si="29">R71+V72</f>
        <v>56121.17</v>
      </c>
      <c r="S72" s="94">
        <v>42783</v>
      </c>
      <c r="T72" s="54">
        <f>V72</f>
        <v>2094.75</v>
      </c>
      <c r="U72" s="54"/>
      <c r="V72" s="50">
        <f t="shared" si="28"/>
        <v>2094.75</v>
      </c>
    </row>
    <row r="73" spans="4:22" ht="18.75" x14ac:dyDescent="0.3">
      <c r="D73" t="s">
        <v>42</v>
      </c>
      <c r="E73" s="17">
        <v>-3</v>
      </c>
      <c r="F73" s="72"/>
      <c r="G73" s="72"/>
      <c r="H73" s="72"/>
      <c r="I73" s="72"/>
      <c r="J73" s="79"/>
      <c r="K73" s="72"/>
      <c r="L73" s="64"/>
      <c r="M73" s="72"/>
      <c r="N73" s="72"/>
      <c r="O73" s="29">
        <v>12</v>
      </c>
      <c r="Q73" s="94">
        <v>42811</v>
      </c>
      <c r="R73" s="55">
        <f t="shared" si="29"/>
        <v>57554.42</v>
      </c>
      <c r="S73" s="94">
        <v>42811</v>
      </c>
      <c r="T73" s="54">
        <f>V73</f>
        <v>1433.25</v>
      </c>
      <c r="V73" s="50">
        <f t="shared" si="28"/>
        <v>1433.25</v>
      </c>
    </row>
    <row r="74" spans="4:22" ht="18.75" x14ac:dyDescent="0.3">
      <c r="D74" t="s">
        <v>43</v>
      </c>
      <c r="E74" s="17">
        <v>-0.3</v>
      </c>
      <c r="F74" s="66">
        <v>42751</v>
      </c>
      <c r="G74" s="67">
        <f>B4</f>
        <v>12500</v>
      </c>
      <c r="H74" s="67">
        <v>0</v>
      </c>
      <c r="I74" s="67">
        <f>-L72</f>
        <v>-12691.35</v>
      </c>
      <c r="J74" s="71">
        <v>675</v>
      </c>
      <c r="K74" s="67">
        <f>J74*B5</f>
        <v>283.5</v>
      </c>
      <c r="L74" s="69">
        <f t="shared" ref="L74:L85" si="30">K74*E73</f>
        <v>-850.5</v>
      </c>
      <c r="M74" s="67">
        <f t="shared" ref="M74:M85" si="31">G74+L74</f>
        <v>11649.5</v>
      </c>
      <c r="N74" s="70">
        <f t="shared" ref="N74:N85" si="32">L74/G74</f>
        <v>-6.8040000000000003E-2</v>
      </c>
      <c r="Q74" s="94">
        <v>42842</v>
      </c>
      <c r="R74" s="55">
        <f t="shared" si="29"/>
        <v>56057.697499999995</v>
      </c>
      <c r="S74" s="94">
        <v>42842</v>
      </c>
      <c r="T74" s="54"/>
      <c r="U74" s="54">
        <f>V74</f>
        <v>-1496.7224999999999</v>
      </c>
      <c r="V74" s="50">
        <f t="shared" si="28"/>
        <v>-1496.7224999999999</v>
      </c>
    </row>
    <row r="75" spans="4:22" ht="18.75" x14ac:dyDescent="0.3">
      <c r="D75" t="s">
        <v>44</v>
      </c>
      <c r="E75" s="17">
        <v>-10</v>
      </c>
      <c r="F75" s="66">
        <v>42782</v>
      </c>
      <c r="G75" s="67">
        <f t="shared" ref="G75:G85" si="33">M74</f>
        <v>11649.5</v>
      </c>
      <c r="H75" s="67">
        <v>0</v>
      </c>
      <c r="I75" s="67">
        <v>0</v>
      </c>
      <c r="J75" s="71">
        <v>16012.5</v>
      </c>
      <c r="K75" s="67">
        <f>J75*B5</f>
        <v>6725.25</v>
      </c>
      <c r="L75" s="69">
        <f t="shared" si="30"/>
        <v>-2017.5749999999998</v>
      </c>
      <c r="M75" s="67">
        <f t="shared" si="31"/>
        <v>9631.9249999999993</v>
      </c>
      <c r="N75" s="70">
        <f t="shared" si="32"/>
        <v>-0.1731898364736684</v>
      </c>
      <c r="Q75" s="94">
        <v>42872</v>
      </c>
      <c r="R75" s="55">
        <f t="shared" si="29"/>
        <v>57664.407499999994</v>
      </c>
      <c r="S75" s="94">
        <v>42872</v>
      </c>
      <c r="T75" s="54">
        <f>V75</f>
        <v>1606.71</v>
      </c>
      <c r="V75" s="50">
        <f t="shared" si="28"/>
        <v>1606.71</v>
      </c>
    </row>
    <row r="76" spans="4:22" ht="18.75" x14ac:dyDescent="0.3">
      <c r="D76" t="s">
        <v>45</v>
      </c>
      <c r="E76" s="17">
        <v>-1</v>
      </c>
      <c r="F76" s="66">
        <v>42810</v>
      </c>
      <c r="G76" s="67">
        <f t="shared" si="33"/>
        <v>9631.9249999999993</v>
      </c>
      <c r="H76" s="67">
        <v>0</v>
      </c>
      <c r="I76" s="67">
        <v>0</v>
      </c>
      <c r="J76" s="68">
        <v>-506.25</v>
      </c>
      <c r="K76" s="67">
        <f>J76*B6</f>
        <v>-248.0625</v>
      </c>
      <c r="L76" s="69">
        <f t="shared" si="30"/>
        <v>2480.625</v>
      </c>
      <c r="M76" s="67">
        <f t="shared" si="31"/>
        <v>12112.55</v>
      </c>
      <c r="N76" s="70">
        <f t="shared" si="32"/>
        <v>0.25754197629238185</v>
      </c>
      <c r="Q76" s="94">
        <v>42903</v>
      </c>
      <c r="R76" s="55">
        <f t="shared" si="29"/>
        <v>59323.407499999994</v>
      </c>
      <c r="S76" s="94">
        <v>42903</v>
      </c>
      <c r="T76" s="54">
        <f>V76</f>
        <v>1659</v>
      </c>
      <c r="V76" s="50">
        <f t="shared" si="28"/>
        <v>1659</v>
      </c>
    </row>
    <row r="77" spans="4:22" ht="18.75" x14ac:dyDescent="0.3">
      <c r="D77" t="s">
        <v>46</v>
      </c>
      <c r="E77" s="17">
        <v>-0.6</v>
      </c>
      <c r="F77" s="66">
        <v>42841</v>
      </c>
      <c r="G77" s="67">
        <f t="shared" si="33"/>
        <v>12112.55</v>
      </c>
      <c r="H77" s="67">
        <v>0</v>
      </c>
      <c r="I77" s="67">
        <v>0</v>
      </c>
      <c r="J77" s="71">
        <v>3225</v>
      </c>
      <c r="K77" s="67">
        <f>J77*B5</f>
        <v>1354.5</v>
      </c>
      <c r="L77" s="69">
        <f t="shared" si="30"/>
        <v>-1354.5</v>
      </c>
      <c r="M77" s="67">
        <f t="shared" si="31"/>
        <v>10758.05</v>
      </c>
      <c r="N77" s="70">
        <f t="shared" si="32"/>
        <v>-0.11182616377228578</v>
      </c>
      <c r="Q77" s="94">
        <v>42933</v>
      </c>
      <c r="R77" s="55">
        <f t="shared" si="29"/>
        <v>62961.657499999994</v>
      </c>
      <c r="S77" s="94">
        <v>42933</v>
      </c>
      <c r="T77" s="54">
        <f>V77</f>
        <v>3638.25</v>
      </c>
      <c r="V77" s="50">
        <f t="shared" si="28"/>
        <v>3638.25</v>
      </c>
    </row>
    <row r="78" spans="4:22" ht="18.75" x14ac:dyDescent="0.3">
      <c r="D78" t="s">
        <v>47</v>
      </c>
      <c r="E78" s="17">
        <v>-0.4</v>
      </c>
      <c r="F78" s="66">
        <v>42871</v>
      </c>
      <c r="G78" s="67">
        <f t="shared" si="33"/>
        <v>10758.05</v>
      </c>
      <c r="H78" s="67">
        <v>0</v>
      </c>
      <c r="I78" s="67">
        <v>0</v>
      </c>
      <c r="J78" s="68">
        <v>-5775</v>
      </c>
      <c r="K78" s="67">
        <f>J78*B6</f>
        <v>-2829.75</v>
      </c>
      <c r="L78" s="69">
        <f t="shared" si="30"/>
        <v>1697.85</v>
      </c>
      <c r="M78" s="67">
        <f t="shared" si="31"/>
        <v>12455.9</v>
      </c>
      <c r="N78" s="70">
        <f t="shared" si="32"/>
        <v>0.15782135238263439</v>
      </c>
      <c r="Q78" s="94">
        <v>42964</v>
      </c>
      <c r="R78" s="55">
        <f t="shared" si="29"/>
        <v>61271.157499999994</v>
      </c>
      <c r="S78" s="94">
        <v>42964</v>
      </c>
      <c r="U78" s="54">
        <f>V78</f>
        <v>-1690.5</v>
      </c>
      <c r="V78" s="50">
        <f t="shared" si="28"/>
        <v>-1690.5</v>
      </c>
    </row>
    <row r="79" spans="4:22" ht="18.75" x14ac:dyDescent="0.3">
      <c r="D79" t="s">
        <v>48</v>
      </c>
      <c r="E79" s="17">
        <v>1.5</v>
      </c>
      <c r="F79" s="66">
        <v>42902</v>
      </c>
      <c r="G79" s="67">
        <f t="shared" si="33"/>
        <v>12455.9</v>
      </c>
      <c r="H79" s="67">
        <v>0</v>
      </c>
      <c r="I79" s="67">
        <v>0</v>
      </c>
      <c r="J79" s="71">
        <v>5862.5</v>
      </c>
      <c r="K79" s="67">
        <f>J79*B5</f>
        <v>2462.25</v>
      </c>
      <c r="L79" s="69">
        <f t="shared" si="30"/>
        <v>-984.90000000000009</v>
      </c>
      <c r="M79" s="67">
        <f t="shared" si="31"/>
        <v>11471</v>
      </c>
      <c r="N79" s="70">
        <f t="shared" si="32"/>
        <v>-7.9070962355189123E-2</v>
      </c>
      <c r="Q79" s="94">
        <v>42995</v>
      </c>
      <c r="R79" s="55">
        <f t="shared" si="29"/>
        <v>63435.207499999997</v>
      </c>
      <c r="S79" s="94">
        <v>42995</v>
      </c>
      <c r="T79" s="54">
        <f>V79</f>
        <v>2164.0499999999997</v>
      </c>
      <c r="V79" s="50">
        <f t="shared" si="28"/>
        <v>2164.0499999999997</v>
      </c>
    </row>
    <row r="80" spans="4:22" ht="18.75" x14ac:dyDescent="0.3">
      <c r="D80" t="s">
        <v>57</v>
      </c>
      <c r="E80" s="17">
        <v>1.1000000000000001</v>
      </c>
      <c r="F80" s="66">
        <v>42932</v>
      </c>
      <c r="G80" s="67">
        <f t="shared" si="33"/>
        <v>11471</v>
      </c>
      <c r="H80" s="67">
        <v>0</v>
      </c>
      <c r="I80" s="67">
        <v>0</v>
      </c>
      <c r="J80" s="71">
        <v>3837.5</v>
      </c>
      <c r="K80" s="67">
        <f>J80*B5</f>
        <v>1611.75</v>
      </c>
      <c r="L80" s="69">
        <f t="shared" si="30"/>
        <v>2417.625</v>
      </c>
      <c r="M80" s="67">
        <f t="shared" si="31"/>
        <v>13888.625</v>
      </c>
      <c r="N80" s="70">
        <f t="shared" si="32"/>
        <v>0.210759741957981</v>
      </c>
      <c r="Q80" s="94">
        <v>43025</v>
      </c>
      <c r="R80" s="55">
        <f t="shared" si="29"/>
        <v>65106.597499999996</v>
      </c>
      <c r="S80" s="94">
        <v>43025</v>
      </c>
      <c r="T80" s="54">
        <f>V80</f>
        <v>1671.3899999999999</v>
      </c>
      <c r="U80" s="54"/>
      <c r="V80" s="50">
        <f t="shared" si="28"/>
        <v>1671.3899999999999</v>
      </c>
    </row>
    <row r="81" spans="4:22" ht="18.75" x14ac:dyDescent="0.3">
      <c r="D81" t="s">
        <v>49</v>
      </c>
      <c r="E81" s="17">
        <v>-1.8</v>
      </c>
      <c r="F81" s="66">
        <v>42963</v>
      </c>
      <c r="G81" s="67">
        <f t="shared" si="33"/>
        <v>13888.625</v>
      </c>
      <c r="H81" s="67">
        <v>0</v>
      </c>
      <c r="I81" s="67">
        <v>0</v>
      </c>
      <c r="J81" s="71">
        <v>7687.5</v>
      </c>
      <c r="K81" s="67">
        <f>J81*B5</f>
        <v>3228.75</v>
      </c>
      <c r="L81" s="69">
        <f t="shared" si="30"/>
        <v>3551.6250000000005</v>
      </c>
      <c r="M81" s="67">
        <f t="shared" si="31"/>
        <v>17440.25</v>
      </c>
      <c r="N81" s="70">
        <f t="shared" si="32"/>
        <v>0.25572185871531561</v>
      </c>
      <c r="Q81" s="94">
        <v>43056</v>
      </c>
      <c r="R81" s="55">
        <f t="shared" si="29"/>
        <v>68199.897499999992</v>
      </c>
      <c r="S81" s="94">
        <v>43056</v>
      </c>
      <c r="T81" s="54">
        <f>V81</f>
        <v>3093.2999999999997</v>
      </c>
      <c r="V81" s="50">
        <f t="shared" si="28"/>
        <v>3093.2999999999997</v>
      </c>
    </row>
    <row r="82" spans="4:22" ht="18.75" x14ac:dyDescent="0.3">
      <c r="D82" t="s">
        <v>51</v>
      </c>
      <c r="E82" s="17">
        <v>1</v>
      </c>
      <c r="F82" s="66">
        <v>42994</v>
      </c>
      <c r="G82" s="67">
        <f t="shared" si="33"/>
        <v>17440.25</v>
      </c>
      <c r="H82" s="67">
        <v>0</v>
      </c>
      <c r="I82" s="67">
        <v>0</v>
      </c>
      <c r="J82" s="68">
        <v>-1762.5</v>
      </c>
      <c r="K82" s="67">
        <f>J82*B6</f>
        <v>-863.625</v>
      </c>
      <c r="L82" s="69">
        <f t="shared" si="30"/>
        <v>1554.5250000000001</v>
      </c>
      <c r="M82" s="67">
        <f t="shared" si="31"/>
        <v>18994.775000000001</v>
      </c>
      <c r="N82" s="70">
        <f t="shared" si="32"/>
        <v>8.9134330069809781E-2</v>
      </c>
      <c r="Q82" s="94">
        <v>43086</v>
      </c>
      <c r="R82" s="55">
        <f t="shared" si="29"/>
        <v>71242.307499999995</v>
      </c>
      <c r="S82" s="94">
        <v>43086</v>
      </c>
      <c r="T82" s="54">
        <f>V82</f>
        <v>3042.41</v>
      </c>
      <c r="U82" s="54"/>
      <c r="V82" s="50">
        <f t="shared" si="28"/>
        <v>3042.41</v>
      </c>
    </row>
    <row r="83" spans="4:22" ht="18.75" x14ac:dyDescent="0.3">
      <c r="D83" t="s">
        <v>50</v>
      </c>
      <c r="E83" s="17">
        <v>3</v>
      </c>
      <c r="F83" s="66">
        <v>43024</v>
      </c>
      <c r="G83" s="67">
        <f t="shared" si="33"/>
        <v>18994.775000000001</v>
      </c>
      <c r="H83" s="67">
        <v>0</v>
      </c>
      <c r="I83" s="67">
        <v>0</v>
      </c>
      <c r="J83" s="68">
        <v>-2306.25</v>
      </c>
      <c r="K83" s="67">
        <f>J83*B6</f>
        <v>-1130.0625</v>
      </c>
      <c r="L83" s="69">
        <f t="shared" si="30"/>
        <v>-1130.0625</v>
      </c>
      <c r="M83" s="67">
        <f t="shared" si="31"/>
        <v>17864.712500000001</v>
      </c>
      <c r="N83" s="70">
        <f t="shared" si="32"/>
        <v>-5.9493334351157091E-2</v>
      </c>
      <c r="Q83" s="94" t="s">
        <v>13</v>
      </c>
      <c r="R83" s="55">
        <f>V83+R82</f>
        <v>76230.412299999996</v>
      </c>
      <c r="S83" s="94" t="s">
        <v>13</v>
      </c>
      <c r="T83" s="54">
        <f>V83</f>
        <v>4988.1048000000001</v>
      </c>
      <c r="V83" s="50">
        <f t="shared" ref="V83:V94" si="34">L104</f>
        <v>4988.1048000000001</v>
      </c>
    </row>
    <row r="84" spans="4:22" ht="18.75" x14ac:dyDescent="0.3">
      <c r="D84" t="s">
        <v>52</v>
      </c>
      <c r="E84" s="17">
        <v>-1</v>
      </c>
      <c r="F84" s="66">
        <v>43055</v>
      </c>
      <c r="G84" s="67">
        <f t="shared" si="33"/>
        <v>17864.712500000001</v>
      </c>
      <c r="H84" s="67">
        <v>0</v>
      </c>
      <c r="I84" s="67">
        <v>0</v>
      </c>
      <c r="J84" s="71">
        <v>3425</v>
      </c>
      <c r="K84" s="67">
        <f>J84*B5</f>
        <v>1438.5</v>
      </c>
      <c r="L84" s="69">
        <f t="shared" si="30"/>
        <v>4315.5</v>
      </c>
      <c r="M84" s="67">
        <f t="shared" si="31"/>
        <v>22180.212500000001</v>
      </c>
      <c r="N84" s="70">
        <f t="shared" si="32"/>
        <v>0.24156560034201499</v>
      </c>
      <c r="Q84" s="94" t="s">
        <v>14</v>
      </c>
      <c r="R84" s="55">
        <f t="shared" ref="R84:R94" si="35">R83+V84</f>
        <v>74300.816800000001</v>
      </c>
      <c r="S84" s="94" t="s">
        <v>14</v>
      </c>
      <c r="T84" s="54"/>
      <c r="U84" s="54">
        <f>V84</f>
        <v>-1929.5954999999999</v>
      </c>
      <c r="V84" s="50">
        <f t="shared" si="34"/>
        <v>-1929.5954999999999</v>
      </c>
    </row>
    <row r="85" spans="4:22" ht="18.75" x14ac:dyDescent="0.3">
      <c r="F85" s="66">
        <v>43085</v>
      </c>
      <c r="G85" s="67">
        <f t="shared" si="33"/>
        <v>22180.212500000001</v>
      </c>
      <c r="H85" s="67">
        <v>0</v>
      </c>
      <c r="I85" s="67">
        <v>0</v>
      </c>
      <c r="J85" s="71">
        <v>1200</v>
      </c>
      <c r="K85" s="67">
        <f>J85*B5</f>
        <v>504</v>
      </c>
      <c r="L85" s="69">
        <f t="shared" si="30"/>
        <v>-504</v>
      </c>
      <c r="M85" s="67">
        <f t="shared" si="31"/>
        <v>21676.212500000001</v>
      </c>
      <c r="N85" s="70">
        <f t="shared" si="32"/>
        <v>-2.2722956328754738E-2</v>
      </c>
      <c r="Q85" s="94" t="s">
        <v>15</v>
      </c>
      <c r="R85" s="55">
        <f t="shared" si="35"/>
        <v>73704.584799999997</v>
      </c>
      <c r="S85" s="94" t="s">
        <v>15</v>
      </c>
      <c r="T85" s="54"/>
      <c r="U85" s="54">
        <f>V85</f>
        <v>-596.23199999999997</v>
      </c>
      <c r="V85" s="50">
        <f t="shared" si="34"/>
        <v>-596.23199999999997</v>
      </c>
    </row>
    <row r="86" spans="4:22" ht="18.75" x14ac:dyDescent="0.3">
      <c r="F86" s="72"/>
      <c r="G86" s="72"/>
      <c r="H86" s="72"/>
      <c r="I86" s="72"/>
      <c r="J86" s="73" t="s">
        <v>11</v>
      </c>
      <c r="K86" s="72" t="s">
        <v>11</v>
      </c>
      <c r="L86" s="72" t="s">
        <v>11</v>
      </c>
      <c r="M86" s="72"/>
      <c r="N86" s="72" t="s">
        <v>11</v>
      </c>
      <c r="Q86" s="94" t="s">
        <v>16</v>
      </c>
      <c r="R86" s="55">
        <f t="shared" si="35"/>
        <v>71683.334799999997</v>
      </c>
      <c r="S86" s="94" t="s">
        <v>16</v>
      </c>
      <c r="U86" s="54">
        <f>V86</f>
        <v>-2021.25</v>
      </c>
      <c r="V86" s="50">
        <f t="shared" si="34"/>
        <v>-2021.25</v>
      </c>
    </row>
    <row r="87" spans="4:22" ht="18.75" x14ac:dyDescent="0.3">
      <c r="F87" s="72"/>
      <c r="G87" s="72"/>
      <c r="H87" s="72"/>
      <c r="I87" s="72"/>
      <c r="J87" s="75">
        <v>31575</v>
      </c>
      <c r="K87" s="67"/>
      <c r="L87" s="80">
        <f>SUM(L74:L86)</f>
        <v>9176.2124999999996</v>
      </c>
      <c r="M87" s="81"/>
      <c r="N87" s="78">
        <f>L87/G74</f>
        <v>0.734097</v>
      </c>
      <c r="P87" s="54">
        <f>L87</f>
        <v>9176.2124999999996</v>
      </c>
      <c r="Q87" s="94" t="s">
        <v>17</v>
      </c>
      <c r="R87" s="55">
        <f t="shared" si="35"/>
        <v>70583.284799999994</v>
      </c>
      <c r="S87" s="94" t="s">
        <v>17</v>
      </c>
      <c r="U87" s="54">
        <f>V87</f>
        <v>-1100.05</v>
      </c>
      <c r="V87" s="50">
        <f t="shared" si="34"/>
        <v>-1100.05</v>
      </c>
    </row>
    <row r="88" spans="4:22" ht="18.75" x14ac:dyDescent="0.3">
      <c r="D88" t="s">
        <v>42</v>
      </c>
      <c r="E88" s="17">
        <v>1</v>
      </c>
      <c r="F88" s="72"/>
      <c r="G88" s="72"/>
      <c r="H88" s="72"/>
      <c r="I88" s="72"/>
      <c r="J88" s="79"/>
      <c r="K88" s="72"/>
      <c r="L88" s="64"/>
      <c r="M88" s="72"/>
      <c r="N88" s="72"/>
      <c r="O88" s="29">
        <v>12</v>
      </c>
      <c r="Q88" s="94" t="s">
        <v>18</v>
      </c>
      <c r="R88" s="55">
        <f t="shared" si="35"/>
        <v>73816.47</v>
      </c>
      <c r="S88" s="94" t="s">
        <v>18</v>
      </c>
      <c r="T88" s="54">
        <f>V88</f>
        <v>3233.1851999999999</v>
      </c>
      <c r="V88" s="50">
        <f t="shared" si="34"/>
        <v>3233.1851999999999</v>
      </c>
    </row>
    <row r="89" spans="4:22" ht="18.75" x14ac:dyDescent="0.3">
      <c r="D89" t="s">
        <v>43</v>
      </c>
      <c r="E89" s="17">
        <v>-1</v>
      </c>
      <c r="F89" s="66">
        <v>42752</v>
      </c>
      <c r="G89" s="67">
        <f>B4</f>
        <v>12500</v>
      </c>
      <c r="H89" s="67">
        <v>0</v>
      </c>
      <c r="I89" s="67">
        <f>-L87</f>
        <v>-9176.2124999999996</v>
      </c>
      <c r="J89" s="71">
        <v>4388.25</v>
      </c>
      <c r="K89" s="67">
        <f>J89*B5</f>
        <v>1843.0649999999998</v>
      </c>
      <c r="L89" s="69">
        <f t="shared" ref="L89:L100" si="36">K89*E88</f>
        <v>1843.0649999999998</v>
      </c>
      <c r="M89" s="67">
        <f t="shared" ref="M89:M100" si="37">G89+L89</f>
        <v>14343.065000000001</v>
      </c>
      <c r="N89" s="70">
        <f t="shared" ref="N89:N100" si="38">L89/G89</f>
        <v>0.1474452</v>
      </c>
      <c r="Q89" s="94" t="s">
        <v>19</v>
      </c>
      <c r="R89" s="55">
        <f t="shared" si="35"/>
        <v>75759.100200000001</v>
      </c>
      <c r="S89" s="94" t="s">
        <v>19</v>
      </c>
      <c r="T89" s="54">
        <f>V89</f>
        <v>1942.6302000000001</v>
      </c>
      <c r="V89" s="50">
        <f t="shared" si="34"/>
        <v>1942.6302000000001</v>
      </c>
    </row>
    <row r="90" spans="4:22" ht="18.75" x14ac:dyDescent="0.3">
      <c r="D90" t="s">
        <v>44</v>
      </c>
      <c r="E90" s="17">
        <v>1</v>
      </c>
      <c r="F90" s="66">
        <v>42783</v>
      </c>
      <c r="G90" s="67">
        <f t="shared" ref="G90:G100" si="39">M89</f>
        <v>14343.065000000001</v>
      </c>
      <c r="H90" s="67">
        <v>0</v>
      </c>
      <c r="I90" s="67">
        <v>0</v>
      </c>
      <c r="J90" s="68">
        <v>-4275</v>
      </c>
      <c r="K90" s="67">
        <f>J90*B6</f>
        <v>-2094.75</v>
      </c>
      <c r="L90" s="69">
        <f t="shared" si="36"/>
        <v>2094.75</v>
      </c>
      <c r="M90" s="67">
        <f t="shared" si="37"/>
        <v>16437.815000000002</v>
      </c>
      <c r="N90" s="70">
        <f t="shared" si="38"/>
        <v>0.14604619026686416</v>
      </c>
      <c r="Q90" s="94" t="s">
        <v>20</v>
      </c>
      <c r="R90" s="55">
        <f t="shared" si="35"/>
        <v>78950.984700000001</v>
      </c>
      <c r="S90" s="94" t="s">
        <v>20</v>
      </c>
      <c r="T90" s="54">
        <f>V90</f>
        <v>3191.8845000000001</v>
      </c>
      <c r="U90" s="54"/>
      <c r="V90" s="50">
        <f t="shared" si="34"/>
        <v>3191.8845000000001</v>
      </c>
    </row>
    <row r="91" spans="4:22" ht="18.75" x14ac:dyDescent="0.3">
      <c r="D91" t="s">
        <v>45</v>
      </c>
      <c r="E91" s="17">
        <v>-0.5</v>
      </c>
      <c r="F91" s="66">
        <v>42811</v>
      </c>
      <c r="G91" s="67">
        <f t="shared" si="39"/>
        <v>16437.815000000002</v>
      </c>
      <c r="H91" s="67">
        <v>0</v>
      </c>
      <c r="I91" s="67">
        <v>0</v>
      </c>
      <c r="J91" s="71">
        <v>3412.5</v>
      </c>
      <c r="K91" s="67">
        <f>J91*B5</f>
        <v>1433.25</v>
      </c>
      <c r="L91" s="69">
        <f t="shared" si="36"/>
        <v>1433.25</v>
      </c>
      <c r="M91" s="67">
        <f t="shared" si="37"/>
        <v>17871.065000000002</v>
      </c>
      <c r="N91" s="70">
        <f t="shared" si="38"/>
        <v>8.7192245441380128E-2</v>
      </c>
      <c r="Q91" s="94" t="s">
        <v>21</v>
      </c>
      <c r="R91" s="55">
        <f t="shared" si="35"/>
        <v>77363.659100000004</v>
      </c>
      <c r="S91" s="94" t="s">
        <v>21</v>
      </c>
      <c r="U91" s="54">
        <f>V91</f>
        <v>-1587.3255999999999</v>
      </c>
      <c r="V91" s="50">
        <f t="shared" si="34"/>
        <v>-1587.3255999999999</v>
      </c>
    </row>
    <row r="92" spans="4:22" ht="18.75" x14ac:dyDescent="0.3">
      <c r="D92" t="s">
        <v>46</v>
      </c>
      <c r="E92" s="17">
        <v>1</v>
      </c>
      <c r="F92" s="66">
        <v>42842</v>
      </c>
      <c r="G92" s="67">
        <f t="shared" si="39"/>
        <v>17871.065000000002</v>
      </c>
      <c r="H92" s="67">
        <f t="shared" ref="H92:I100" si="40">H91</f>
        <v>0</v>
      </c>
      <c r="I92" s="67">
        <f t="shared" si="40"/>
        <v>0</v>
      </c>
      <c r="J92" s="71">
        <v>7127.25</v>
      </c>
      <c r="K92" s="67">
        <f>J92*B5</f>
        <v>2993.4449999999997</v>
      </c>
      <c r="L92" s="69">
        <f t="shared" si="36"/>
        <v>-1496.7224999999999</v>
      </c>
      <c r="M92" s="67">
        <f t="shared" si="37"/>
        <v>16374.342500000002</v>
      </c>
      <c r="N92" s="70">
        <f t="shared" si="38"/>
        <v>-8.3751164242310105E-2</v>
      </c>
      <c r="Q92" s="94" t="s">
        <v>22</v>
      </c>
      <c r="R92" s="55">
        <f t="shared" si="35"/>
        <v>80673.364100000006</v>
      </c>
      <c r="S92" s="94" t="s">
        <v>22</v>
      </c>
      <c r="T92" s="54">
        <f t="shared" ref="T92:T104" si="41">V92</f>
        <v>3309.7049999999995</v>
      </c>
      <c r="V92" s="50">
        <f t="shared" si="34"/>
        <v>3309.7049999999995</v>
      </c>
    </row>
    <row r="93" spans="4:22" ht="18.75" x14ac:dyDescent="0.3">
      <c r="D93" t="s">
        <v>47</v>
      </c>
      <c r="E93" s="17">
        <v>1</v>
      </c>
      <c r="F93" s="66">
        <v>42872</v>
      </c>
      <c r="G93" s="67">
        <f t="shared" si="39"/>
        <v>16374.342500000002</v>
      </c>
      <c r="H93" s="67">
        <f t="shared" si="40"/>
        <v>0</v>
      </c>
      <c r="I93" s="67">
        <f t="shared" si="40"/>
        <v>0</v>
      </c>
      <c r="J93" s="71">
        <v>3825.5</v>
      </c>
      <c r="K93" s="67">
        <f>J93*B5</f>
        <v>1606.71</v>
      </c>
      <c r="L93" s="69">
        <f t="shared" si="36"/>
        <v>1606.71</v>
      </c>
      <c r="M93" s="67">
        <f t="shared" si="37"/>
        <v>17981.052500000002</v>
      </c>
      <c r="N93" s="70">
        <f t="shared" si="38"/>
        <v>9.8123634582579417E-2</v>
      </c>
      <c r="Q93" s="94" t="s">
        <v>23</v>
      </c>
      <c r="R93" s="55">
        <f t="shared" si="35"/>
        <v>78712.090100000001</v>
      </c>
      <c r="S93" s="94" t="s">
        <v>23</v>
      </c>
      <c r="T93" s="54"/>
      <c r="U93" s="54">
        <f>V93</f>
        <v>-1961.2739999999997</v>
      </c>
      <c r="V93" s="50">
        <f t="shared" si="34"/>
        <v>-1961.2739999999997</v>
      </c>
    </row>
    <row r="94" spans="4:22" ht="18.75" x14ac:dyDescent="0.3">
      <c r="D94" t="s">
        <v>48</v>
      </c>
      <c r="E94" s="17">
        <v>1</v>
      </c>
      <c r="F94" s="66">
        <v>42903</v>
      </c>
      <c r="G94" s="67">
        <f t="shared" si="39"/>
        <v>17981.052500000002</v>
      </c>
      <c r="H94" s="67">
        <f t="shared" si="40"/>
        <v>0</v>
      </c>
      <c r="I94" s="67">
        <f t="shared" si="40"/>
        <v>0</v>
      </c>
      <c r="J94" s="71">
        <v>3950</v>
      </c>
      <c r="K94" s="67">
        <f>J94*B5</f>
        <v>1659</v>
      </c>
      <c r="L94" s="69">
        <f t="shared" si="36"/>
        <v>1659</v>
      </c>
      <c r="M94" s="67">
        <f t="shared" si="37"/>
        <v>19640.052500000002</v>
      </c>
      <c r="N94" s="70">
        <f t="shared" si="38"/>
        <v>9.2263787117022197E-2</v>
      </c>
      <c r="Q94" s="94" t="s">
        <v>26</v>
      </c>
      <c r="R94" s="55">
        <f t="shared" si="35"/>
        <v>86673.500899999999</v>
      </c>
      <c r="S94" s="94" t="s">
        <v>26</v>
      </c>
      <c r="T94" s="54">
        <f t="shared" si="41"/>
        <v>7961.4108000000006</v>
      </c>
      <c r="V94" s="50">
        <f t="shared" si="34"/>
        <v>7961.4108000000006</v>
      </c>
    </row>
    <row r="95" spans="4:22" ht="18.75" x14ac:dyDescent="0.3">
      <c r="D95" t="s">
        <v>57</v>
      </c>
      <c r="E95" s="17">
        <v>3</v>
      </c>
      <c r="F95" s="66">
        <v>42933</v>
      </c>
      <c r="G95" s="67">
        <f t="shared" si="39"/>
        <v>19640.052500000002</v>
      </c>
      <c r="H95" s="67">
        <f t="shared" si="40"/>
        <v>0</v>
      </c>
      <c r="I95" s="67">
        <f t="shared" si="40"/>
        <v>0</v>
      </c>
      <c r="J95" s="71">
        <v>8662.5</v>
      </c>
      <c r="K95" s="67">
        <f>J95*B5</f>
        <v>3638.25</v>
      </c>
      <c r="L95" s="69">
        <f t="shared" si="36"/>
        <v>3638.25</v>
      </c>
      <c r="M95" s="67">
        <f t="shared" si="37"/>
        <v>23278.302500000002</v>
      </c>
      <c r="N95" s="70">
        <f t="shared" si="38"/>
        <v>0.18524644982491772</v>
      </c>
      <c r="Q95" s="94" t="s">
        <v>31</v>
      </c>
      <c r="R95" s="55">
        <f>V95+R94</f>
        <v>89878.625899999999</v>
      </c>
      <c r="S95" s="94" t="s">
        <v>31</v>
      </c>
      <c r="T95" s="54">
        <f t="shared" si="41"/>
        <v>3205.125</v>
      </c>
      <c r="V95" s="50">
        <f t="shared" ref="V95:V106" si="42">L119</f>
        <v>3205.125</v>
      </c>
    </row>
    <row r="96" spans="4:22" ht="18.75" x14ac:dyDescent="0.3">
      <c r="D96" t="s">
        <v>49</v>
      </c>
      <c r="E96" s="17">
        <v>1</v>
      </c>
      <c r="F96" s="66">
        <v>42964</v>
      </c>
      <c r="G96" s="67">
        <f t="shared" si="39"/>
        <v>23278.302500000002</v>
      </c>
      <c r="H96" s="67">
        <f t="shared" si="40"/>
        <v>0</v>
      </c>
      <c r="I96" s="67">
        <f t="shared" si="40"/>
        <v>0</v>
      </c>
      <c r="J96" s="68">
        <v>-1150</v>
      </c>
      <c r="K96" s="67">
        <f>J96*B6</f>
        <v>-563.5</v>
      </c>
      <c r="L96" s="69">
        <f t="shared" si="36"/>
        <v>-1690.5</v>
      </c>
      <c r="M96" s="67">
        <f t="shared" si="37"/>
        <v>21587.802500000002</v>
      </c>
      <c r="N96" s="70">
        <f t="shared" si="38"/>
        <v>-7.2621274682722239E-2</v>
      </c>
      <c r="Q96" s="94" t="s">
        <v>32</v>
      </c>
      <c r="R96" s="55">
        <f t="shared" ref="R96:R119" si="43">R95+V96</f>
        <v>92125.688899999994</v>
      </c>
      <c r="S96" s="94" t="s">
        <v>32</v>
      </c>
      <c r="T96" s="54">
        <f t="shared" si="41"/>
        <v>2247.0629999999996</v>
      </c>
      <c r="V96" s="50">
        <f t="shared" si="42"/>
        <v>2247.0629999999996</v>
      </c>
    </row>
    <row r="97" spans="4:22" ht="18.75" x14ac:dyDescent="0.3">
      <c r="D97" t="s">
        <v>51</v>
      </c>
      <c r="E97" s="17">
        <v>-1.5</v>
      </c>
      <c r="F97" s="66">
        <v>42995</v>
      </c>
      <c r="G97" s="67">
        <f t="shared" si="39"/>
        <v>21587.802500000002</v>
      </c>
      <c r="H97" s="67">
        <f t="shared" si="40"/>
        <v>0</v>
      </c>
      <c r="I97" s="67">
        <f t="shared" si="40"/>
        <v>0</v>
      </c>
      <c r="J97" s="71">
        <v>5152.5</v>
      </c>
      <c r="K97" s="67">
        <f>J97*B5</f>
        <v>2164.0499999999997</v>
      </c>
      <c r="L97" s="69">
        <f t="shared" si="36"/>
        <v>2164.0499999999997</v>
      </c>
      <c r="M97" s="67">
        <f t="shared" si="37"/>
        <v>23751.852500000001</v>
      </c>
      <c r="N97" s="70">
        <f t="shared" si="38"/>
        <v>0.10024410775483052</v>
      </c>
      <c r="Q97" s="94" t="s">
        <v>33</v>
      </c>
      <c r="R97" s="55">
        <f t="shared" si="43"/>
        <v>92514.558499999999</v>
      </c>
      <c r="S97" s="94" t="s">
        <v>33</v>
      </c>
      <c r="T97" s="54">
        <f t="shared" si="41"/>
        <v>388.86959999999999</v>
      </c>
      <c r="V97" s="50">
        <f t="shared" si="42"/>
        <v>388.86959999999999</v>
      </c>
    </row>
    <row r="98" spans="4:22" ht="18.75" x14ac:dyDescent="0.3">
      <c r="D98" t="s">
        <v>50</v>
      </c>
      <c r="E98" s="17">
        <v>1</v>
      </c>
      <c r="F98" s="66">
        <v>43025</v>
      </c>
      <c r="G98" s="67">
        <f t="shared" si="39"/>
        <v>23751.852500000001</v>
      </c>
      <c r="H98" s="67">
        <f t="shared" si="40"/>
        <v>0</v>
      </c>
      <c r="I98" s="67">
        <f t="shared" si="40"/>
        <v>0</v>
      </c>
      <c r="J98" s="68">
        <v>-2274</v>
      </c>
      <c r="K98" s="67">
        <f>J98*B6</f>
        <v>-1114.26</v>
      </c>
      <c r="L98" s="69">
        <f t="shared" si="36"/>
        <v>1671.3899999999999</v>
      </c>
      <c r="M98" s="67">
        <f t="shared" si="37"/>
        <v>25423.2425</v>
      </c>
      <c r="N98" s="70">
        <f t="shared" si="38"/>
        <v>7.0368827020966043E-2</v>
      </c>
      <c r="Q98" s="94" t="s">
        <v>34</v>
      </c>
      <c r="R98" s="55">
        <f t="shared" si="43"/>
        <v>94624.361300000004</v>
      </c>
      <c r="S98" s="94" t="s">
        <v>34</v>
      </c>
      <c r="T98" s="54">
        <f t="shared" si="41"/>
        <v>2109.8027999999999</v>
      </c>
      <c r="V98" s="50">
        <f t="shared" si="42"/>
        <v>2109.8027999999999</v>
      </c>
    </row>
    <row r="99" spans="4:22" ht="18.75" x14ac:dyDescent="0.3">
      <c r="D99" t="s">
        <v>52</v>
      </c>
      <c r="E99" s="17">
        <v>-2</v>
      </c>
      <c r="F99" s="66">
        <v>43056</v>
      </c>
      <c r="G99" s="67">
        <f t="shared" si="39"/>
        <v>25423.2425</v>
      </c>
      <c r="H99" s="67">
        <f t="shared" si="40"/>
        <v>0</v>
      </c>
      <c r="I99" s="67">
        <f t="shared" si="40"/>
        <v>0</v>
      </c>
      <c r="J99" s="71">
        <v>7365</v>
      </c>
      <c r="K99" s="67">
        <f>J99*B5</f>
        <v>3093.2999999999997</v>
      </c>
      <c r="L99" s="69">
        <f t="shared" si="36"/>
        <v>3093.2999999999997</v>
      </c>
      <c r="M99" s="67">
        <f t="shared" si="37"/>
        <v>28516.5425</v>
      </c>
      <c r="N99" s="70">
        <f t="shared" si="38"/>
        <v>0.12167212738500999</v>
      </c>
      <c r="Q99" s="94" t="s">
        <v>35</v>
      </c>
      <c r="R99" s="55">
        <f t="shared" si="43"/>
        <v>91998.622100000008</v>
      </c>
      <c r="S99" s="94" t="s">
        <v>35</v>
      </c>
      <c r="T99" s="54"/>
      <c r="U99" s="54">
        <f>V99</f>
        <v>-2625.7392</v>
      </c>
      <c r="V99" s="50">
        <f t="shared" si="42"/>
        <v>-2625.7392</v>
      </c>
    </row>
    <row r="100" spans="4:22" ht="18.75" x14ac:dyDescent="0.3">
      <c r="F100" s="66">
        <v>43086</v>
      </c>
      <c r="G100" s="67">
        <f t="shared" si="39"/>
        <v>28516.5425</v>
      </c>
      <c r="H100" s="67">
        <f t="shared" si="40"/>
        <v>0</v>
      </c>
      <c r="I100" s="67">
        <f t="shared" si="40"/>
        <v>0</v>
      </c>
      <c r="J100" s="68">
        <v>-3104.5</v>
      </c>
      <c r="K100" s="67">
        <f>J100*B6</f>
        <v>-1521.2049999999999</v>
      </c>
      <c r="L100" s="69">
        <f t="shared" si="36"/>
        <v>3042.41</v>
      </c>
      <c r="M100" s="67">
        <f t="shared" si="37"/>
        <v>31558.952499999999</v>
      </c>
      <c r="N100" s="70">
        <f t="shared" si="38"/>
        <v>0.10668930148176273</v>
      </c>
      <c r="Q100" s="94" t="s">
        <v>36</v>
      </c>
      <c r="R100" s="55">
        <f t="shared" si="43"/>
        <v>93994.189100000003</v>
      </c>
      <c r="S100" s="94" t="s">
        <v>36</v>
      </c>
      <c r="T100" s="54">
        <f t="shared" si="41"/>
        <v>1995.567</v>
      </c>
      <c r="V100" s="50">
        <f t="shared" si="42"/>
        <v>1995.567</v>
      </c>
    </row>
    <row r="101" spans="4:22" ht="18.75" x14ac:dyDescent="0.3">
      <c r="F101" s="72"/>
      <c r="G101" s="72"/>
      <c r="H101" s="72"/>
      <c r="I101" s="72"/>
      <c r="J101" s="73" t="s">
        <v>11</v>
      </c>
      <c r="K101" s="72" t="s">
        <v>11</v>
      </c>
      <c r="L101" s="72" t="s">
        <v>11</v>
      </c>
      <c r="M101" s="72"/>
      <c r="N101" s="72" t="s">
        <v>11</v>
      </c>
      <c r="Q101" s="94" t="s">
        <v>37</v>
      </c>
      <c r="R101" s="55">
        <f t="shared" si="43"/>
        <v>94152.17588000001</v>
      </c>
      <c r="S101" s="94" t="s">
        <v>37</v>
      </c>
      <c r="T101" s="54">
        <f t="shared" si="41"/>
        <v>157.98677999999998</v>
      </c>
      <c r="V101" s="50">
        <f t="shared" si="42"/>
        <v>157.98677999999998</v>
      </c>
    </row>
    <row r="102" spans="4:22" ht="18.75" x14ac:dyDescent="0.3">
      <c r="F102" s="72"/>
      <c r="G102" s="72"/>
      <c r="H102" s="72"/>
      <c r="I102" s="72"/>
      <c r="J102" s="75">
        <v>33080</v>
      </c>
      <c r="K102" s="67"/>
      <c r="L102" s="80">
        <f>SUM(L89:L101)</f>
        <v>19058.952499999999</v>
      </c>
      <c r="M102" s="81"/>
      <c r="N102" s="78">
        <f>L102/G89</f>
        <v>1.5247161999999999</v>
      </c>
      <c r="P102" s="54">
        <f>L102</f>
        <v>19058.952499999999</v>
      </c>
      <c r="Q102" s="94" t="s">
        <v>61</v>
      </c>
      <c r="R102" s="55">
        <f t="shared" si="43"/>
        <v>93909.995880000017</v>
      </c>
      <c r="S102" s="94" t="s">
        <v>61</v>
      </c>
      <c r="T102" s="54"/>
      <c r="U102" s="54">
        <f>V102</f>
        <v>-242.18</v>
      </c>
      <c r="V102" s="50">
        <f t="shared" si="42"/>
        <v>-242.18</v>
      </c>
    </row>
    <row r="103" spans="4:22" ht="18.75" x14ac:dyDescent="0.3">
      <c r="D103" t="s">
        <v>42</v>
      </c>
      <c r="E103" s="17">
        <v>1</v>
      </c>
      <c r="F103" s="72"/>
      <c r="G103" s="72"/>
      <c r="H103" s="72"/>
      <c r="I103" s="72"/>
      <c r="J103" s="79"/>
      <c r="K103" s="67"/>
      <c r="L103" s="80"/>
      <c r="M103" s="81"/>
      <c r="N103" s="78"/>
      <c r="O103" s="29">
        <v>12</v>
      </c>
      <c r="Q103" s="94" t="s">
        <v>66</v>
      </c>
      <c r="R103" s="55">
        <f t="shared" si="43"/>
        <v>94868.489213333349</v>
      </c>
      <c r="S103" s="94" t="s">
        <v>66</v>
      </c>
      <c r="T103" s="54">
        <f t="shared" si="41"/>
        <v>958.49333333333334</v>
      </c>
      <c r="V103" s="50">
        <f t="shared" si="42"/>
        <v>958.49333333333334</v>
      </c>
    </row>
    <row r="104" spans="4:22" ht="18.75" x14ac:dyDescent="0.3">
      <c r="D104" t="s">
        <v>43</v>
      </c>
      <c r="E104" s="17">
        <v>-0.7</v>
      </c>
      <c r="F104" s="83" t="s">
        <v>13</v>
      </c>
      <c r="G104" s="67">
        <f>B4</f>
        <v>12500</v>
      </c>
      <c r="H104" s="67">
        <v>0</v>
      </c>
      <c r="I104" s="67">
        <f>-L102</f>
        <v>-19058.952499999999</v>
      </c>
      <c r="J104" s="71">
        <v>11876.44</v>
      </c>
      <c r="K104" s="67">
        <f>J104*B5</f>
        <v>4988.1048000000001</v>
      </c>
      <c r="L104" s="69">
        <f t="shared" ref="L104:L115" si="44">K104*E103</f>
        <v>4988.1048000000001</v>
      </c>
      <c r="M104" s="67">
        <f t="shared" ref="M104:M115" si="45">G104+L104</f>
        <v>17488.104800000001</v>
      </c>
      <c r="N104" s="70">
        <f t="shared" ref="N104:N115" si="46">L104/G104</f>
        <v>0.39904838399999998</v>
      </c>
      <c r="Q104" s="94">
        <v>43757</v>
      </c>
      <c r="R104" s="55">
        <f t="shared" si="43"/>
        <v>96902.73163757578</v>
      </c>
      <c r="S104" s="94">
        <v>43757</v>
      </c>
      <c r="T104" s="54">
        <f t="shared" si="41"/>
        <v>2034.2424242424242</v>
      </c>
      <c r="V104" s="50">
        <f t="shared" si="42"/>
        <v>2034.2424242424242</v>
      </c>
    </row>
    <row r="105" spans="4:22" ht="18.75" x14ac:dyDescent="0.3">
      <c r="D105" t="s">
        <v>44</v>
      </c>
      <c r="E105" s="17">
        <v>-0.8</v>
      </c>
      <c r="F105" s="83" t="s">
        <v>14</v>
      </c>
      <c r="G105" s="67">
        <f t="shared" ref="G105:G115" si="47">M104</f>
        <v>17488.104800000001</v>
      </c>
      <c r="H105" s="67">
        <f>H99</f>
        <v>0</v>
      </c>
      <c r="I105" s="67">
        <f>I99</f>
        <v>0</v>
      </c>
      <c r="J105" s="71">
        <v>6563.25</v>
      </c>
      <c r="K105" s="67">
        <f>J105*B5</f>
        <v>2756.5650000000001</v>
      </c>
      <c r="L105" s="69">
        <f t="shared" si="44"/>
        <v>-1929.5954999999999</v>
      </c>
      <c r="M105" s="67">
        <f t="shared" si="45"/>
        <v>15558.509300000002</v>
      </c>
      <c r="N105" s="70">
        <f t="shared" si="46"/>
        <v>-0.11033759930349914</v>
      </c>
      <c r="Q105" s="94">
        <v>43788</v>
      </c>
      <c r="R105" s="55">
        <f t="shared" si="43"/>
        <v>98077.681637575777</v>
      </c>
      <c r="S105" s="94">
        <v>43788</v>
      </c>
      <c r="T105" s="54">
        <f t="shared" ref="T105" si="48">V105</f>
        <v>1174.95</v>
      </c>
      <c r="U105" s="54"/>
      <c r="V105" s="50">
        <f t="shared" si="42"/>
        <v>1174.95</v>
      </c>
    </row>
    <row r="106" spans="4:22" ht="18.75" x14ac:dyDescent="0.3">
      <c r="D106" t="s">
        <v>45</v>
      </c>
      <c r="E106" s="17">
        <v>1</v>
      </c>
      <c r="F106" s="83" t="s">
        <v>15</v>
      </c>
      <c r="G106" s="67">
        <f t="shared" si="47"/>
        <v>15558.509300000002</v>
      </c>
      <c r="H106" s="67">
        <f>H100</f>
        <v>0</v>
      </c>
      <c r="I106" s="67">
        <f>I100</f>
        <v>0</v>
      </c>
      <c r="J106" s="71">
        <v>1774.5</v>
      </c>
      <c r="K106" s="67">
        <f>J106*B5</f>
        <v>745.29</v>
      </c>
      <c r="L106" s="69">
        <f t="shared" si="44"/>
        <v>-596.23199999999997</v>
      </c>
      <c r="M106" s="67">
        <f t="shared" si="45"/>
        <v>14962.277300000002</v>
      </c>
      <c r="N106" s="70">
        <f t="shared" si="46"/>
        <v>-3.8321923296340474E-2</v>
      </c>
      <c r="Q106" s="94">
        <v>43818</v>
      </c>
      <c r="R106" s="55">
        <f t="shared" si="43"/>
        <v>99268.95714777986</v>
      </c>
      <c r="S106" s="94">
        <v>43818</v>
      </c>
      <c r="T106" s="54"/>
      <c r="U106" s="54"/>
      <c r="V106" s="50">
        <f t="shared" si="42"/>
        <v>1191.2755102040817</v>
      </c>
    </row>
    <row r="107" spans="4:22" ht="18.75" x14ac:dyDescent="0.3">
      <c r="D107" t="s">
        <v>46</v>
      </c>
      <c r="E107" s="17">
        <v>1</v>
      </c>
      <c r="F107" s="83" t="s">
        <v>16</v>
      </c>
      <c r="G107" s="67">
        <f t="shared" si="47"/>
        <v>14962.277300000002</v>
      </c>
      <c r="H107" s="67">
        <f>H105</f>
        <v>0</v>
      </c>
      <c r="I107" s="67">
        <f>I106</f>
        <v>0</v>
      </c>
      <c r="J107" s="68">
        <v>-4125</v>
      </c>
      <c r="K107" s="67">
        <f>J107*B6</f>
        <v>-2021.25</v>
      </c>
      <c r="L107" s="69">
        <f t="shared" si="44"/>
        <v>-2021.25</v>
      </c>
      <c r="M107" s="67">
        <f t="shared" si="45"/>
        <v>12941.027300000002</v>
      </c>
      <c r="N107" s="70">
        <f t="shared" si="46"/>
        <v>-0.13508972995708346</v>
      </c>
      <c r="Q107" s="94">
        <v>43850</v>
      </c>
      <c r="R107" s="55">
        <f t="shared" si="43"/>
        <v>98653.657147779857</v>
      </c>
      <c r="S107" s="94">
        <v>43850</v>
      </c>
      <c r="T107" s="54"/>
      <c r="U107" s="54">
        <f>V107</f>
        <v>-615.29999999999995</v>
      </c>
      <c r="V107" s="50">
        <f t="shared" ref="V107:V118" si="49">L134</f>
        <v>-615.29999999999995</v>
      </c>
    </row>
    <row r="108" spans="4:22" ht="18.75" x14ac:dyDescent="0.3">
      <c r="D108" t="s">
        <v>47</v>
      </c>
      <c r="E108" s="17">
        <v>1.5</v>
      </c>
      <c r="F108" s="83" t="s">
        <v>17</v>
      </c>
      <c r="G108" s="67">
        <f t="shared" si="47"/>
        <v>12941.027300000002</v>
      </c>
      <c r="H108" s="67">
        <f>H106</f>
        <v>0</v>
      </c>
      <c r="I108" s="67">
        <f>I107</f>
        <v>0</v>
      </c>
      <c r="J108" s="68">
        <v>-2245</v>
      </c>
      <c r="K108" s="67">
        <f>J108*B6</f>
        <v>-1100.05</v>
      </c>
      <c r="L108" s="69">
        <f t="shared" si="44"/>
        <v>-1100.05</v>
      </c>
      <c r="M108" s="67">
        <f t="shared" si="45"/>
        <v>11840.977300000002</v>
      </c>
      <c r="N108" s="70">
        <f t="shared" si="46"/>
        <v>-8.5004843471738895E-2</v>
      </c>
      <c r="Q108" s="94">
        <v>43881</v>
      </c>
      <c r="R108" s="55">
        <f t="shared" si="43"/>
        <v>103337.44464777986</v>
      </c>
      <c r="S108" s="94">
        <v>43881</v>
      </c>
      <c r="T108" s="54">
        <f>V108</f>
        <v>4683.7874999999995</v>
      </c>
      <c r="U108" s="54"/>
      <c r="V108" s="50">
        <f t="shared" si="49"/>
        <v>4683.7874999999995</v>
      </c>
    </row>
    <row r="109" spans="4:22" ht="18.75" x14ac:dyDescent="0.3">
      <c r="D109" t="s">
        <v>48</v>
      </c>
      <c r="E109" s="17">
        <v>1</v>
      </c>
      <c r="F109" s="83" t="s">
        <v>18</v>
      </c>
      <c r="G109" s="67">
        <f t="shared" si="47"/>
        <v>11840.977300000002</v>
      </c>
      <c r="H109" s="67">
        <f>H107</f>
        <v>0</v>
      </c>
      <c r="I109" s="67">
        <f>I108</f>
        <v>0</v>
      </c>
      <c r="J109" s="71">
        <v>5132.04</v>
      </c>
      <c r="K109" s="67">
        <f>J109*B5</f>
        <v>2155.4567999999999</v>
      </c>
      <c r="L109" s="69">
        <f t="shared" si="44"/>
        <v>3233.1851999999999</v>
      </c>
      <c r="M109" s="67">
        <f t="shared" si="45"/>
        <v>15074.162500000002</v>
      </c>
      <c r="N109" s="70">
        <f t="shared" si="46"/>
        <v>0.27305053612424368</v>
      </c>
      <c r="Q109" s="94" t="str">
        <f t="shared" ref="Q109:Q118" si="50">F136</f>
        <v>20-Mar</v>
      </c>
      <c r="R109" s="55">
        <f t="shared" si="43"/>
        <v>109773.34464777986</v>
      </c>
      <c r="S109" s="94" t="str">
        <f t="shared" ref="S109:S119" si="51">Q109</f>
        <v>20-Mar</v>
      </c>
      <c r="T109" s="54">
        <f>V109</f>
        <v>6435.9</v>
      </c>
      <c r="U109" s="54"/>
      <c r="V109" s="50">
        <f t="shared" si="49"/>
        <v>6435.9</v>
      </c>
    </row>
    <row r="110" spans="4:22" ht="18.75" x14ac:dyDescent="0.3">
      <c r="D110" t="s">
        <v>57</v>
      </c>
      <c r="E110" s="17">
        <v>-1</v>
      </c>
      <c r="F110" s="83" t="s">
        <v>19</v>
      </c>
      <c r="G110" s="67">
        <f t="shared" si="47"/>
        <v>15074.162500000002</v>
      </c>
      <c r="H110" s="67">
        <f>H107</f>
        <v>0</v>
      </c>
      <c r="I110" s="67">
        <f>I108</f>
        <v>0</v>
      </c>
      <c r="J110" s="71">
        <v>4625.3100000000004</v>
      </c>
      <c r="K110" s="67">
        <f>J110*B5</f>
        <v>1942.6302000000001</v>
      </c>
      <c r="L110" s="69">
        <f t="shared" si="44"/>
        <v>1942.6302000000001</v>
      </c>
      <c r="M110" s="67">
        <f t="shared" si="45"/>
        <v>17016.792700000002</v>
      </c>
      <c r="N110" s="70">
        <f t="shared" si="46"/>
        <v>0.12887151773771841</v>
      </c>
      <c r="Q110" s="94" t="str">
        <f t="shared" si="50"/>
        <v>20-Apr</v>
      </c>
      <c r="R110" s="55">
        <f t="shared" si="43"/>
        <v>109992.28464777986</v>
      </c>
      <c r="S110" s="94" t="str">
        <f t="shared" si="51"/>
        <v>20-Apr</v>
      </c>
      <c r="T110" s="54">
        <f>V110</f>
        <v>218.94</v>
      </c>
      <c r="U110" s="54"/>
      <c r="V110" s="50">
        <f t="shared" si="49"/>
        <v>218.94</v>
      </c>
    </row>
    <row r="111" spans="4:22" ht="18.75" x14ac:dyDescent="0.3">
      <c r="D111" t="s">
        <v>49</v>
      </c>
      <c r="E111" s="17">
        <v>1</v>
      </c>
      <c r="F111" s="83" t="s">
        <v>20</v>
      </c>
      <c r="G111" s="67">
        <f t="shared" si="47"/>
        <v>17016.792700000002</v>
      </c>
      <c r="H111" s="67">
        <f>H108</f>
        <v>0</v>
      </c>
      <c r="I111" s="67">
        <f>I109</f>
        <v>0</v>
      </c>
      <c r="J111" s="68">
        <v>-6514.05</v>
      </c>
      <c r="K111" s="67">
        <f>J111*B6</f>
        <v>-3191.8845000000001</v>
      </c>
      <c r="L111" s="69">
        <f t="shared" si="44"/>
        <v>3191.8845000000001</v>
      </c>
      <c r="M111" s="67">
        <f t="shared" si="45"/>
        <v>20208.677200000002</v>
      </c>
      <c r="N111" s="70">
        <f t="shared" si="46"/>
        <v>0.18757262642095884</v>
      </c>
      <c r="Q111" s="94" t="str">
        <f t="shared" si="50"/>
        <v>20-May</v>
      </c>
      <c r="R111" s="55">
        <f t="shared" si="43"/>
        <v>108567.65464777985</v>
      </c>
      <c r="S111" s="94" t="str">
        <f t="shared" si="51"/>
        <v>20-May</v>
      </c>
      <c r="T111" s="54"/>
      <c r="U111" s="54">
        <f>V111</f>
        <v>-1424.63</v>
      </c>
      <c r="V111" s="50">
        <f t="shared" si="49"/>
        <v>-1424.63</v>
      </c>
    </row>
    <row r="112" spans="4:22" ht="18.75" x14ac:dyDescent="0.3">
      <c r="D112" t="s">
        <v>51</v>
      </c>
      <c r="E112" s="17">
        <v>0.7</v>
      </c>
      <c r="F112" s="83" t="s">
        <v>21</v>
      </c>
      <c r="G112" s="67">
        <f t="shared" si="47"/>
        <v>20208.677200000002</v>
      </c>
      <c r="H112" s="67">
        <v>0</v>
      </c>
      <c r="I112" s="67">
        <v>0</v>
      </c>
      <c r="J112" s="68">
        <v>-3239.44</v>
      </c>
      <c r="K112" s="67">
        <f>J112*B6</f>
        <v>-1587.3255999999999</v>
      </c>
      <c r="L112" s="69">
        <f t="shared" si="44"/>
        <v>-1587.3255999999999</v>
      </c>
      <c r="M112" s="67">
        <f t="shared" si="45"/>
        <v>18621.351600000002</v>
      </c>
      <c r="N112" s="70">
        <f t="shared" si="46"/>
        <v>-7.854673437012491E-2</v>
      </c>
      <c r="Q112" s="94" t="str">
        <f t="shared" si="50"/>
        <v>20-Jun</v>
      </c>
      <c r="R112" s="55">
        <f t="shared" si="43"/>
        <v>107262.37464777986</v>
      </c>
      <c r="S112" s="94" t="str">
        <f t="shared" si="51"/>
        <v>20-Jun</v>
      </c>
      <c r="T112" s="54"/>
      <c r="U112" s="54">
        <f>V112</f>
        <v>-1305.28</v>
      </c>
      <c r="V112" s="50">
        <f t="shared" si="49"/>
        <v>-1305.28</v>
      </c>
    </row>
    <row r="113" spans="4:22" ht="18.75" x14ac:dyDescent="0.3">
      <c r="D113" t="s">
        <v>50</v>
      </c>
      <c r="E113" s="17">
        <v>-1.4</v>
      </c>
      <c r="F113" s="83" t="s">
        <v>22</v>
      </c>
      <c r="G113" s="67">
        <f t="shared" si="47"/>
        <v>18621.351600000002</v>
      </c>
      <c r="H113" s="67">
        <v>0</v>
      </c>
      <c r="I113" s="67">
        <v>0</v>
      </c>
      <c r="J113" s="71">
        <v>11257.5</v>
      </c>
      <c r="K113" s="67">
        <f>J113*B5</f>
        <v>4728.1499999999996</v>
      </c>
      <c r="L113" s="69">
        <f t="shared" si="44"/>
        <v>3309.7049999999995</v>
      </c>
      <c r="M113" s="67">
        <f t="shared" si="45"/>
        <v>21931.0566</v>
      </c>
      <c r="N113" s="70">
        <f t="shared" si="46"/>
        <v>0.17773709831030735</v>
      </c>
      <c r="Q113" s="94" t="str">
        <f t="shared" si="50"/>
        <v>20-Jul</v>
      </c>
      <c r="R113" s="55">
        <f t="shared" si="43"/>
        <v>107782.21464777985</v>
      </c>
      <c r="S113" s="94" t="str">
        <f t="shared" si="51"/>
        <v>20-Jul</v>
      </c>
      <c r="T113" s="54">
        <f t="shared" ref="T113:T119" si="52">V113</f>
        <v>519.84</v>
      </c>
      <c r="U113" s="54"/>
      <c r="V113" s="50">
        <f t="shared" si="49"/>
        <v>519.84</v>
      </c>
    </row>
    <row r="114" spans="4:22" ht="18.75" x14ac:dyDescent="0.3">
      <c r="D114" t="s">
        <v>52</v>
      </c>
      <c r="E114" s="17">
        <v>1</v>
      </c>
      <c r="F114" s="83" t="s">
        <v>23</v>
      </c>
      <c r="G114" s="67">
        <f t="shared" si="47"/>
        <v>21931.0566</v>
      </c>
      <c r="H114" s="67">
        <v>0</v>
      </c>
      <c r="I114" s="67">
        <v>0</v>
      </c>
      <c r="J114" s="71">
        <v>3335.5</v>
      </c>
      <c r="K114" s="67">
        <f>J114*B5</f>
        <v>1400.9099999999999</v>
      </c>
      <c r="L114" s="69">
        <f t="shared" si="44"/>
        <v>-1961.2739999999997</v>
      </c>
      <c r="M114" s="67">
        <f t="shared" si="45"/>
        <v>19969.782599999999</v>
      </c>
      <c r="N114" s="70">
        <f t="shared" si="46"/>
        <v>-8.9429070188984855E-2</v>
      </c>
      <c r="Q114" s="94" t="str">
        <f t="shared" si="50"/>
        <v>20-Aug</v>
      </c>
      <c r="R114" s="55">
        <f t="shared" si="43"/>
        <v>108186.40464777985</v>
      </c>
      <c r="S114" s="94" t="str">
        <f t="shared" si="51"/>
        <v>20-Aug</v>
      </c>
      <c r="T114" s="54">
        <f t="shared" si="52"/>
        <v>404.19</v>
      </c>
      <c r="U114" s="54"/>
      <c r="V114" s="50">
        <f t="shared" si="49"/>
        <v>404.19</v>
      </c>
    </row>
    <row r="115" spans="4:22" ht="18.75" x14ac:dyDescent="0.3">
      <c r="F115" s="83" t="s">
        <v>26</v>
      </c>
      <c r="G115" s="67">
        <f t="shared" si="47"/>
        <v>19969.782599999999</v>
      </c>
      <c r="H115" s="67">
        <v>0</v>
      </c>
      <c r="I115" s="67">
        <v>0</v>
      </c>
      <c r="J115" s="71">
        <v>18955.740000000002</v>
      </c>
      <c r="K115" s="67">
        <f>J115*B5</f>
        <v>7961.4108000000006</v>
      </c>
      <c r="L115" s="69">
        <f t="shared" si="44"/>
        <v>7961.4108000000006</v>
      </c>
      <c r="M115" s="67">
        <f t="shared" si="45"/>
        <v>27931.1934</v>
      </c>
      <c r="N115" s="70">
        <f t="shared" si="46"/>
        <v>0.39867288289858505</v>
      </c>
      <c r="Q115" s="94" t="str">
        <f t="shared" si="50"/>
        <v>20-Sep</v>
      </c>
      <c r="R115" s="55">
        <f t="shared" si="43"/>
        <v>108186.40464777985</v>
      </c>
      <c r="S115" s="94" t="str">
        <f t="shared" si="51"/>
        <v>20-Sep</v>
      </c>
      <c r="T115" s="54">
        <f t="shared" si="52"/>
        <v>0</v>
      </c>
      <c r="U115" s="54"/>
      <c r="V115" s="50">
        <f t="shared" si="49"/>
        <v>0</v>
      </c>
    </row>
    <row r="116" spans="4:22" ht="18.75" x14ac:dyDescent="0.3">
      <c r="F116" s="72"/>
      <c r="G116" s="72"/>
      <c r="H116" s="72"/>
      <c r="I116" s="72"/>
      <c r="J116" s="73" t="s">
        <v>11</v>
      </c>
      <c r="K116" s="72" t="s">
        <v>11</v>
      </c>
      <c r="L116" s="72" t="s">
        <v>11</v>
      </c>
      <c r="M116" s="72"/>
      <c r="N116" s="72" t="s">
        <v>11</v>
      </c>
      <c r="Q116" s="94" t="str">
        <f t="shared" si="50"/>
        <v>20-Oct</v>
      </c>
      <c r="R116" s="55">
        <f t="shared" si="43"/>
        <v>108186.40464777985</v>
      </c>
      <c r="S116" s="94" t="str">
        <f t="shared" si="51"/>
        <v>20-Oct</v>
      </c>
      <c r="T116" s="54">
        <f t="shared" si="52"/>
        <v>0</v>
      </c>
      <c r="U116" s="54"/>
      <c r="V116" s="50">
        <f t="shared" si="49"/>
        <v>0</v>
      </c>
    </row>
    <row r="117" spans="4:22" ht="18.75" x14ac:dyDescent="0.3">
      <c r="F117" s="72"/>
      <c r="G117" s="72"/>
      <c r="H117" s="72"/>
      <c r="I117" s="72"/>
      <c r="J117" s="75">
        <v>47396.79</v>
      </c>
      <c r="K117" s="67"/>
      <c r="L117" s="80">
        <f>SUM(L104:L116)</f>
        <v>15431.1934</v>
      </c>
      <c r="M117" s="81"/>
      <c r="N117" s="78">
        <f>L117/G104</f>
        <v>1.2344954720000001</v>
      </c>
      <c r="P117" s="54">
        <f>L117</f>
        <v>15431.1934</v>
      </c>
      <c r="Q117" s="94" t="str">
        <f t="shared" si="50"/>
        <v>20-Nov</v>
      </c>
      <c r="R117" s="55">
        <f t="shared" si="43"/>
        <v>108611.65464777985</v>
      </c>
      <c r="S117" s="94" t="str">
        <f t="shared" si="51"/>
        <v>20-Nov</v>
      </c>
      <c r="T117" s="54">
        <f t="shared" si="52"/>
        <v>425.25</v>
      </c>
      <c r="U117" s="54"/>
      <c r="V117" s="50">
        <f t="shared" si="49"/>
        <v>425.25</v>
      </c>
    </row>
    <row r="118" spans="4:22" ht="18.75" x14ac:dyDescent="0.3">
      <c r="D118" t="s">
        <v>42</v>
      </c>
      <c r="E118" s="17">
        <v>1</v>
      </c>
      <c r="F118" s="72"/>
      <c r="G118" s="72"/>
      <c r="H118" s="72"/>
      <c r="I118" s="72"/>
      <c r="J118" s="79"/>
      <c r="K118" s="67"/>
      <c r="L118" s="69"/>
      <c r="M118" s="81"/>
      <c r="N118" s="78"/>
      <c r="Q118" s="94" t="str">
        <f t="shared" si="50"/>
        <v>20-Dec</v>
      </c>
      <c r="R118" s="55">
        <f t="shared" si="43"/>
        <v>108871.35464777985</v>
      </c>
      <c r="S118" s="94" t="str">
        <f t="shared" si="51"/>
        <v>20-Dec</v>
      </c>
      <c r="T118" s="54">
        <f t="shared" si="52"/>
        <v>259.7</v>
      </c>
      <c r="U118" s="54"/>
      <c r="V118" s="50">
        <f t="shared" si="49"/>
        <v>259.7</v>
      </c>
    </row>
    <row r="119" spans="4:22" ht="18.75" x14ac:dyDescent="0.3">
      <c r="D119" t="s">
        <v>43</v>
      </c>
      <c r="E119" s="17">
        <v>1</v>
      </c>
      <c r="F119" s="83" t="s">
        <v>31</v>
      </c>
      <c r="G119" s="67">
        <f>G104</f>
        <v>12500</v>
      </c>
      <c r="H119" s="67">
        <v>0</v>
      </c>
      <c r="I119" s="67">
        <f>-L117</f>
        <v>-15431.1934</v>
      </c>
      <c r="J119" s="71">
        <v>7631.25</v>
      </c>
      <c r="K119" s="67">
        <f>J119*B5</f>
        <v>3205.125</v>
      </c>
      <c r="L119" s="69">
        <f t="shared" ref="L119:L125" si="53">K119*E118</f>
        <v>3205.125</v>
      </c>
      <c r="M119" s="67">
        <f t="shared" ref="M119:M130" si="54">G119+L119</f>
        <v>15705.125</v>
      </c>
      <c r="N119" s="70">
        <f t="shared" ref="N119:N130" si="55">L119/G119</f>
        <v>0.25641000000000003</v>
      </c>
      <c r="Q119" s="94">
        <f t="shared" ref="Q119:Q124" si="56">F149</f>
        <v>44217</v>
      </c>
      <c r="R119" s="55">
        <f t="shared" si="43"/>
        <v>109118.10464777985</v>
      </c>
      <c r="S119" s="94">
        <f t="shared" si="51"/>
        <v>44217</v>
      </c>
      <c r="T119" s="54">
        <f t="shared" si="52"/>
        <v>246.75</v>
      </c>
      <c r="U119" s="54"/>
      <c r="V119" s="50">
        <f t="shared" ref="V119:V125" si="57">L149</f>
        <v>246.75</v>
      </c>
    </row>
    <row r="120" spans="4:22" ht="18.75" x14ac:dyDescent="0.3">
      <c r="D120" t="s">
        <v>44</v>
      </c>
      <c r="E120" s="17">
        <v>1</v>
      </c>
      <c r="F120" s="83" t="s">
        <v>32</v>
      </c>
      <c r="G120" s="67">
        <f t="shared" ref="G120:G130" si="58">M119</f>
        <v>15705.125</v>
      </c>
      <c r="H120" s="67">
        <f t="shared" ref="H120:I130" si="59">H119</f>
        <v>0</v>
      </c>
      <c r="I120" s="67">
        <f>H120</f>
        <v>0</v>
      </c>
      <c r="J120" s="71">
        <v>5350.15</v>
      </c>
      <c r="K120" s="67">
        <f>J120*B5</f>
        <v>2247.0629999999996</v>
      </c>
      <c r="L120" s="69">
        <f t="shared" si="53"/>
        <v>2247.0629999999996</v>
      </c>
      <c r="M120" s="67">
        <f t="shared" si="54"/>
        <v>17952.187999999998</v>
      </c>
      <c r="N120" s="70">
        <f t="shared" si="55"/>
        <v>0.14307832634251555</v>
      </c>
      <c r="O120" s="29">
        <v>12</v>
      </c>
      <c r="Q120" s="94">
        <f t="shared" si="56"/>
        <v>44248</v>
      </c>
      <c r="R120" s="55">
        <f t="shared" ref="R120:R125" si="60">R119+V120</f>
        <v>109313.10464777985</v>
      </c>
      <c r="S120" s="94">
        <f t="shared" ref="S120:S125" si="61">Q120</f>
        <v>44248</v>
      </c>
      <c r="T120" s="54">
        <f t="shared" ref="T120:T125" si="62">V120</f>
        <v>195</v>
      </c>
      <c r="U120" s="54"/>
      <c r="V120" s="50">
        <f t="shared" si="57"/>
        <v>195</v>
      </c>
    </row>
    <row r="121" spans="4:22" ht="18.75" x14ac:dyDescent="0.3">
      <c r="D121" t="s">
        <v>45</v>
      </c>
      <c r="E121" s="17">
        <v>1</v>
      </c>
      <c r="F121" s="83" t="s">
        <v>33</v>
      </c>
      <c r="G121" s="67">
        <f t="shared" si="58"/>
        <v>17952.187999999998</v>
      </c>
      <c r="H121" s="67">
        <f t="shared" si="59"/>
        <v>0</v>
      </c>
      <c r="I121" s="67">
        <f>H121</f>
        <v>0</v>
      </c>
      <c r="J121" s="71">
        <v>925.88</v>
      </c>
      <c r="K121" s="67">
        <f>J121*B5</f>
        <v>388.86959999999999</v>
      </c>
      <c r="L121" s="69">
        <f t="shared" si="53"/>
        <v>388.86959999999999</v>
      </c>
      <c r="M121" s="67">
        <f t="shared" si="54"/>
        <v>18341.0576</v>
      </c>
      <c r="N121" s="70">
        <f t="shared" si="55"/>
        <v>2.1661404169786992E-2</v>
      </c>
      <c r="Q121" s="94">
        <f t="shared" si="56"/>
        <v>44276</v>
      </c>
      <c r="R121" s="55">
        <f t="shared" si="60"/>
        <v>109404.35464777985</v>
      </c>
      <c r="S121" s="94">
        <f t="shared" si="61"/>
        <v>44276</v>
      </c>
      <c r="T121" s="54">
        <f t="shared" si="62"/>
        <v>91.25</v>
      </c>
      <c r="U121" s="54"/>
      <c r="V121" s="50">
        <f t="shared" si="57"/>
        <v>91.25</v>
      </c>
    </row>
    <row r="122" spans="4:22" ht="18.75" x14ac:dyDescent="0.3">
      <c r="D122" t="s">
        <v>46</v>
      </c>
      <c r="E122" s="17">
        <v>-2</v>
      </c>
      <c r="F122" s="83" t="s">
        <v>34</v>
      </c>
      <c r="G122" s="67">
        <f t="shared" si="58"/>
        <v>18341.0576</v>
      </c>
      <c r="H122" s="67">
        <f t="shared" si="59"/>
        <v>0</v>
      </c>
      <c r="I122" s="67">
        <f t="shared" ref="I122:I127" si="63">I121</f>
        <v>0</v>
      </c>
      <c r="J122" s="71">
        <v>5023.34</v>
      </c>
      <c r="K122" s="67">
        <f>J122*B5</f>
        <v>2109.8027999999999</v>
      </c>
      <c r="L122" s="69">
        <f t="shared" si="53"/>
        <v>2109.8027999999999</v>
      </c>
      <c r="M122" s="67">
        <f t="shared" si="54"/>
        <v>20450.860400000001</v>
      </c>
      <c r="N122" s="70">
        <f t="shared" si="55"/>
        <v>0.11503168715854205</v>
      </c>
      <c r="Q122" s="94">
        <f t="shared" si="56"/>
        <v>44307</v>
      </c>
      <c r="R122" s="55">
        <f t="shared" si="60"/>
        <v>110470.60464777985</v>
      </c>
      <c r="S122" s="94">
        <f t="shared" si="61"/>
        <v>44307</v>
      </c>
      <c r="T122" s="54">
        <f t="shared" si="62"/>
        <v>1066.25</v>
      </c>
      <c r="U122" s="54"/>
      <c r="V122" s="50">
        <f t="shared" si="57"/>
        <v>1066.25</v>
      </c>
    </row>
    <row r="123" spans="4:22" ht="18.75" x14ac:dyDescent="0.3">
      <c r="D123" t="s">
        <v>47</v>
      </c>
      <c r="E123" s="17">
        <v>1</v>
      </c>
      <c r="F123" s="83" t="s">
        <v>35</v>
      </c>
      <c r="G123" s="67">
        <f t="shared" si="58"/>
        <v>20450.860400000001</v>
      </c>
      <c r="H123" s="67">
        <f t="shared" si="59"/>
        <v>0</v>
      </c>
      <c r="I123" s="67">
        <f t="shared" si="63"/>
        <v>0</v>
      </c>
      <c r="J123" s="71">
        <v>3125.88</v>
      </c>
      <c r="K123" s="67">
        <f>J123*B5</f>
        <v>1312.8696</v>
      </c>
      <c r="L123" s="69">
        <f t="shared" si="53"/>
        <v>-2625.7392</v>
      </c>
      <c r="M123" s="67">
        <f t="shared" si="54"/>
        <v>17825.121200000001</v>
      </c>
      <c r="N123" s="70">
        <f t="shared" si="55"/>
        <v>-0.1283926029830999</v>
      </c>
      <c r="Q123" s="94">
        <f t="shared" si="56"/>
        <v>44337</v>
      </c>
      <c r="R123" s="55">
        <f t="shared" si="60"/>
        <v>110095.35464777985</v>
      </c>
      <c r="S123" s="94">
        <f t="shared" si="61"/>
        <v>44337</v>
      </c>
      <c r="U123" s="54">
        <f>V123</f>
        <v>-375.25</v>
      </c>
      <c r="V123" s="50">
        <f t="shared" si="57"/>
        <v>-375.25</v>
      </c>
    </row>
    <row r="124" spans="4:22" ht="18.75" x14ac:dyDescent="0.3">
      <c r="D124" t="s">
        <v>48</v>
      </c>
      <c r="E124" s="17">
        <v>0.7</v>
      </c>
      <c r="F124" s="83" t="s">
        <v>36</v>
      </c>
      <c r="G124" s="67">
        <f t="shared" si="58"/>
        <v>17825.121200000001</v>
      </c>
      <c r="H124" s="67">
        <f t="shared" si="59"/>
        <v>0</v>
      </c>
      <c r="I124" s="67">
        <f t="shared" si="63"/>
        <v>0</v>
      </c>
      <c r="J124" s="71">
        <v>4751.3500000000004</v>
      </c>
      <c r="K124" s="67">
        <f>J124*B5</f>
        <v>1995.567</v>
      </c>
      <c r="L124" s="69">
        <f t="shared" si="53"/>
        <v>1995.567</v>
      </c>
      <c r="M124" s="67">
        <f t="shared" si="54"/>
        <v>19820.688200000001</v>
      </c>
      <c r="N124" s="70">
        <f t="shared" si="55"/>
        <v>0.11195250666794904</v>
      </c>
      <c r="Q124" s="94">
        <f t="shared" si="56"/>
        <v>44368</v>
      </c>
      <c r="R124" s="55">
        <f t="shared" si="60"/>
        <v>110505.35464777985</v>
      </c>
      <c r="S124" s="94">
        <f t="shared" si="61"/>
        <v>44368</v>
      </c>
      <c r="T124" s="54">
        <f t="shared" si="62"/>
        <v>410</v>
      </c>
      <c r="V124" s="50">
        <f t="shared" si="57"/>
        <v>410</v>
      </c>
    </row>
    <row r="125" spans="4:22" ht="18.75" x14ac:dyDescent="0.3">
      <c r="D125"/>
      <c r="E125" s="17"/>
      <c r="F125" s="83" t="s">
        <v>37</v>
      </c>
      <c r="G125" s="67">
        <f t="shared" si="58"/>
        <v>19820.688200000001</v>
      </c>
      <c r="H125" s="67">
        <f t="shared" si="59"/>
        <v>0</v>
      </c>
      <c r="I125" s="67">
        <f t="shared" si="63"/>
        <v>0</v>
      </c>
      <c r="J125" s="71">
        <v>537.37</v>
      </c>
      <c r="K125" s="67">
        <f>J125*B5</f>
        <v>225.69540000000001</v>
      </c>
      <c r="L125" s="69">
        <f t="shared" si="53"/>
        <v>157.98677999999998</v>
      </c>
      <c r="M125" s="67">
        <f t="shared" si="54"/>
        <v>19978.67498</v>
      </c>
      <c r="N125" s="70">
        <f t="shared" si="55"/>
        <v>7.9708019421848315E-3</v>
      </c>
      <c r="Q125" s="95">
        <v>44398</v>
      </c>
      <c r="R125" s="55">
        <f t="shared" si="60"/>
        <v>111971.75464777985</v>
      </c>
      <c r="S125" s="94">
        <f t="shared" si="61"/>
        <v>44398</v>
      </c>
      <c r="T125" s="54">
        <f t="shared" si="62"/>
        <v>1466.4</v>
      </c>
      <c r="V125" s="50">
        <f t="shared" si="57"/>
        <v>1466.4</v>
      </c>
    </row>
    <row r="126" spans="4:22" ht="18.75" x14ac:dyDescent="0.3">
      <c r="D126"/>
      <c r="E126" s="17"/>
      <c r="F126" s="83" t="s">
        <v>61</v>
      </c>
      <c r="G126" s="67">
        <f t="shared" si="58"/>
        <v>19978.67498</v>
      </c>
      <c r="H126" s="67">
        <f t="shared" si="59"/>
        <v>0</v>
      </c>
      <c r="I126" s="67">
        <f t="shared" si="63"/>
        <v>0</v>
      </c>
      <c r="J126" s="71"/>
      <c r="K126" s="67"/>
      <c r="L126" s="69">
        <v>-242.18</v>
      </c>
      <c r="M126" s="67">
        <f t="shared" si="54"/>
        <v>19736.494979999999</v>
      </c>
      <c r="N126" s="70">
        <f t="shared" si="55"/>
        <v>-1.2121925014668817E-2</v>
      </c>
      <c r="Q126" s="95">
        <f>F156</f>
        <v>44429</v>
      </c>
      <c r="R126" s="55">
        <f t="shared" ref="R126:R127" si="64">R125+V126</f>
        <v>112662.00464777985</v>
      </c>
      <c r="S126" s="94">
        <f t="shared" ref="S126:S127" si="65">Q126</f>
        <v>44429</v>
      </c>
      <c r="T126" s="54">
        <f t="shared" ref="T126:T127" si="66">V126</f>
        <v>690.25</v>
      </c>
      <c r="V126" s="50">
        <f t="shared" ref="V126:V127" si="67">L156</f>
        <v>690.25</v>
      </c>
    </row>
    <row r="127" spans="4:22" ht="18.75" x14ac:dyDescent="0.3">
      <c r="D127"/>
      <c r="E127" s="17"/>
      <c r="F127" s="83" t="s">
        <v>66</v>
      </c>
      <c r="G127" s="67">
        <f t="shared" si="58"/>
        <v>19736.494979999999</v>
      </c>
      <c r="H127" s="67">
        <f t="shared" si="59"/>
        <v>0</v>
      </c>
      <c r="I127" s="67">
        <f t="shared" si="63"/>
        <v>0</v>
      </c>
      <c r="J127" s="71"/>
      <c r="K127" s="67"/>
      <c r="L127" s="69">
        <f>2875.48/3</f>
        <v>958.49333333333334</v>
      </c>
      <c r="M127" s="67">
        <f t="shared" si="54"/>
        <v>20694.988313333331</v>
      </c>
      <c r="N127" s="70">
        <f t="shared" si="55"/>
        <v>4.8564516359395307E-2</v>
      </c>
      <c r="Q127" s="95">
        <f>F157</f>
        <v>44460</v>
      </c>
      <c r="R127" s="55">
        <f t="shared" si="64"/>
        <v>112847.80464777985</v>
      </c>
      <c r="S127" s="94">
        <f t="shared" si="65"/>
        <v>44460</v>
      </c>
      <c r="T127" s="54">
        <f t="shared" si="66"/>
        <v>185.8</v>
      </c>
      <c r="V127" s="50">
        <f t="shared" si="67"/>
        <v>185.8</v>
      </c>
    </row>
    <row r="128" spans="4:22" ht="18.75" x14ac:dyDescent="0.3">
      <c r="D128"/>
      <c r="E128" s="17"/>
      <c r="F128" s="83" t="s">
        <v>67</v>
      </c>
      <c r="G128" s="67">
        <f t="shared" si="58"/>
        <v>20694.988313333331</v>
      </c>
      <c r="H128" s="67">
        <f t="shared" si="59"/>
        <v>0</v>
      </c>
      <c r="I128" s="67">
        <f t="shared" si="59"/>
        <v>0</v>
      </c>
      <c r="J128" s="71"/>
      <c r="K128" s="67"/>
      <c r="L128" s="69">
        <f>6713/3.3</f>
        <v>2034.2424242424242</v>
      </c>
      <c r="M128" s="67">
        <f t="shared" si="54"/>
        <v>22729.230737575755</v>
      </c>
      <c r="N128" s="70">
        <f t="shared" si="55"/>
        <v>9.8296379463611777E-2</v>
      </c>
      <c r="Q128" s="95">
        <f>F158</f>
        <v>44490</v>
      </c>
      <c r="R128" s="55">
        <f t="shared" ref="R128" si="68">R127+V128</f>
        <v>112860.30464777985</v>
      </c>
      <c r="S128" s="94">
        <f t="shared" ref="S128" si="69">Q128</f>
        <v>44490</v>
      </c>
      <c r="T128" s="54">
        <f t="shared" ref="T128" si="70">V128</f>
        <v>12.5</v>
      </c>
      <c r="V128" s="50">
        <f t="shared" ref="V128" si="71">L158</f>
        <v>12.5</v>
      </c>
    </row>
    <row r="129" spans="1:22" ht="18.75" x14ac:dyDescent="0.3">
      <c r="D129"/>
      <c r="E129" s="17"/>
      <c r="F129" s="83" t="s">
        <v>68</v>
      </c>
      <c r="G129" s="67">
        <f t="shared" si="58"/>
        <v>22729.230737575755</v>
      </c>
      <c r="H129" s="67">
        <f t="shared" si="59"/>
        <v>0</v>
      </c>
      <c r="I129" s="67">
        <f t="shared" si="59"/>
        <v>0</v>
      </c>
      <c r="J129" s="71"/>
      <c r="K129" s="67"/>
      <c r="L129" s="69">
        <f>4699.8/4</f>
        <v>1174.95</v>
      </c>
      <c r="M129" s="67">
        <f t="shared" si="54"/>
        <v>23904.180737575756</v>
      </c>
      <c r="N129" s="70">
        <f t="shared" si="55"/>
        <v>5.1693346491378765E-2</v>
      </c>
      <c r="Q129" s="95">
        <f>F159</f>
        <v>44521</v>
      </c>
      <c r="R129" s="55">
        <f t="shared" ref="R129:R131" si="72">R128+V129</f>
        <v>112681.55464777985</v>
      </c>
      <c r="S129" s="94">
        <f t="shared" ref="S129:S131" si="73">Q129</f>
        <v>44521</v>
      </c>
      <c r="U129" s="54">
        <f>V129</f>
        <v>-178.75</v>
      </c>
      <c r="V129" s="50">
        <f t="shared" ref="V129:V130" si="74">L159</f>
        <v>-178.75</v>
      </c>
    </row>
    <row r="130" spans="1:22" ht="18.75" x14ac:dyDescent="0.3">
      <c r="D130"/>
      <c r="E130" s="17"/>
      <c r="F130" s="83" t="s">
        <v>69</v>
      </c>
      <c r="G130" s="67">
        <f t="shared" si="58"/>
        <v>23904.180737575756</v>
      </c>
      <c r="H130" s="67">
        <f t="shared" si="59"/>
        <v>0</v>
      </c>
      <c r="I130" s="67">
        <f t="shared" si="59"/>
        <v>0</v>
      </c>
      <c r="J130" s="71"/>
      <c r="K130" s="67"/>
      <c r="L130" s="67">
        <f>4669.8/3.92</f>
        <v>1191.2755102040817</v>
      </c>
      <c r="M130" s="67">
        <f t="shared" si="54"/>
        <v>25095.456247779839</v>
      </c>
      <c r="N130" s="70">
        <f t="shared" si="55"/>
        <v>4.9835446078747098E-2</v>
      </c>
      <c r="Q130" s="95">
        <v>44532</v>
      </c>
      <c r="R130" s="55">
        <f t="shared" si="72"/>
        <v>111711.30464777985</v>
      </c>
      <c r="S130" s="94">
        <f t="shared" si="73"/>
        <v>44532</v>
      </c>
      <c r="U130" s="54">
        <f>V130</f>
        <v>-970.25</v>
      </c>
      <c r="V130" s="50">
        <f t="shared" si="74"/>
        <v>-970.25</v>
      </c>
    </row>
    <row r="131" spans="1:22" ht="18.75" x14ac:dyDescent="0.3">
      <c r="D131"/>
      <c r="E131" s="17"/>
      <c r="F131" s="72"/>
      <c r="G131" s="67"/>
      <c r="H131" s="72"/>
      <c r="I131" s="72"/>
      <c r="J131" s="73" t="s">
        <v>11</v>
      </c>
      <c r="K131" s="72" t="s">
        <v>11</v>
      </c>
      <c r="L131" s="72" t="s">
        <v>11</v>
      </c>
      <c r="M131" s="72"/>
      <c r="N131" s="72" t="s">
        <v>11</v>
      </c>
      <c r="O131" s="29">
        <v>12</v>
      </c>
      <c r="P131" s="54"/>
      <c r="Q131" s="95">
        <f t="shared" ref="Q131:Q136" si="75">F164</f>
        <v>44582</v>
      </c>
      <c r="R131" s="55">
        <f t="shared" si="72"/>
        <v>114247.27464777985</v>
      </c>
      <c r="S131" s="94">
        <f t="shared" si="73"/>
        <v>44582</v>
      </c>
      <c r="T131" s="54">
        <f>V131</f>
        <v>2535.9699999999998</v>
      </c>
      <c r="U131" s="54"/>
      <c r="V131" s="50">
        <f t="shared" ref="V131:V136" si="76">L164</f>
        <v>2535.9699999999998</v>
      </c>
    </row>
    <row r="132" spans="1:22" ht="18.75" x14ac:dyDescent="0.3">
      <c r="F132" s="72"/>
      <c r="G132" s="67"/>
      <c r="H132" s="72"/>
      <c r="I132" s="72"/>
      <c r="J132" s="75">
        <v>27345.22</v>
      </c>
      <c r="K132" s="67">
        <f>SUM(K119:K131)</f>
        <v>11484.992399999999</v>
      </c>
      <c r="L132" s="80">
        <f>SUM(L119:L131)</f>
        <v>12595.456247779839</v>
      </c>
      <c r="M132" s="67"/>
      <c r="N132" s="78">
        <f>L132/G119</f>
        <v>1.0076364998223872</v>
      </c>
      <c r="O132" s="59"/>
      <c r="P132" s="54">
        <f>L132</f>
        <v>12595.456247779839</v>
      </c>
      <c r="Q132" s="95">
        <f t="shared" si="75"/>
        <v>44614</v>
      </c>
      <c r="R132" s="55">
        <f t="shared" ref="R132" si="77">R131+V132</f>
        <v>115543.57464777985</v>
      </c>
      <c r="S132" s="94">
        <f t="shared" ref="S132" si="78">Q132</f>
        <v>44614</v>
      </c>
      <c r="T132" s="54">
        <f>V132</f>
        <v>1296.3</v>
      </c>
      <c r="U132" s="54"/>
      <c r="V132" s="50">
        <f t="shared" si="76"/>
        <v>1296.3</v>
      </c>
    </row>
    <row r="133" spans="1:22" ht="18.75" x14ac:dyDescent="0.3">
      <c r="D133" t="s">
        <v>42</v>
      </c>
      <c r="E133" s="17">
        <v>1</v>
      </c>
      <c r="F133" s="72"/>
      <c r="G133" s="72"/>
      <c r="H133" s="72"/>
      <c r="I133" s="72"/>
      <c r="J133" s="79"/>
      <c r="K133" s="67"/>
      <c r="L133" s="69"/>
      <c r="M133" s="81"/>
      <c r="N133" s="78"/>
      <c r="Q133" s="95">
        <f t="shared" si="75"/>
        <v>44642</v>
      </c>
      <c r="R133" s="55">
        <f t="shared" ref="R133" si="79">R132+V133</f>
        <v>116096.68744777986</v>
      </c>
      <c r="S133" s="94">
        <f t="shared" ref="S133" si="80">Q133</f>
        <v>44642</v>
      </c>
      <c r="T133" s="54">
        <f>V133</f>
        <v>553.11279999999999</v>
      </c>
      <c r="U133" s="54"/>
      <c r="V133" s="50">
        <f t="shared" si="76"/>
        <v>553.11279999999999</v>
      </c>
    </row>
    <row r="134" spans="1:22" ht="18.75" x14ac:dyDescent="0.3">
      <c r="D134" s="7"/>
      <c r="E134" s="33" t="s">
        <v>54</v>
      </c>
      <c r="F134" s="83" t="s">
        <v>70</v>
      </c>
      <c r="G134" s="67">
        <f>G119</f>
        <v>12500</v>
      </c>
      <c r="H134" s="67">
        <v>0</v>
      </c>
      <c r="I134" s="67">
        <f>-L132</f>
        <v>-12595.456247779839</v>
      </c>
      <c r="J134" s="71">
        <v>7631.25</v>
      </c>
      <c r="K134" s="67">
        <f>J134*B20</f>
        <v>0</v>
      </c>
      <c r="L134" s="69">
        <v>-615.29999999999995</v>
      </c>
      <c r="M134" s="67">
        <f t="shared" ref="M134" si="81">G134+L134</f>
        <v>11884.7</v>
      </c>
      <c r="N134" s="70">
        <f>L134/G134</f>
        <v>-4.9223999999999997E-2</v>
      </c>
      <c r="P134" s="54"/>
      <c r="Q134" s="95">
        <f t="shared" si="75"/>
        <v>44673</v>
      </c>
      <c r="R134" s="55">
        <f t="shared" ref="R134" si="82">R133+V134</f>
        <v>117005.43744777986</v>
      </c>
      <c r="S134" s="94">
        <f t="shared" ref="S134" si="83">Q134</f>
        <v>44673</v>
      </c>
      <c r="T134" s="54">
        <f>V134</f>
        <v>908.75</v>
      </c>
      <c r="U134" s="54"/>
      <c r="V134" s="50">
        <f t="shared" si="76"/>
        <v>908.75</v>
      </c>
    </row>
    <row r="135" spans="1:22" ht="18.75" x14ac:dyDescent="0.3">
      <c r="D135" s="7"/>
      <c r="E135" s="33"/>
      <c r="F135" s="83" t="s">
        <v>71</v>
      </c>
      <c r="G135" s="67">
        <f t="shared" ref="G135:G145" si="84">M134</f>
        <v>11884.7</v>
      </c>
      <c r="H135" s="67">
        <v>0</v>
      </c>
      <c r="I135" s="67">
        <v>0</v>
      </c>
      <c r="J135" s="71"/>
      <c r="K135" s="67"/>
      <c r="L135" s="69">
        <f>13382.25*0.35</f>
        <v>4683.7874999999995</v>
      </c>
      <c r="M135" s="67">
        <f t="shared" ref="M135:M145" si="85">L135+G135</f>
        <v>16568.487499999999</v>
      </c>
      <c r="N135" s="70">
        <f t="shared" ref="N135:N145" si="86">L135/M134</f>
        <v>0.3941022911810983</v>
      </c>
      <c r="P135" s="54"/>
      <c r="Q135" s="95">
        <f t="shared" si="75"/>
        <v>44703</v>
      </c>
      <c r="R135" s="55">
        <f t="shared" ref="R135" si="87">R134+V135</f>
        <v>116793.86744777985</v>
      </c>
      <c r="S135" s="94">
        <f t="shared" ref="S135" si="88">Q135</f>
        <v>44703</v>
      </c>
      <c r="T135" s="54"/>
      <c r="U135" s="54">
        <f>V135</f>
        <v>-211.57</v>
      </c>
      <c r="V135" s="50">
        <f t="shared" si="76"/>
        <v>-211.57</v>
      </c>
    </row>
    <row r="136" spans="1:22" ht="18.75" x14ac:dyDescent="0.3">
      <c r="D136" s="7"/>
      <c r="E136" s="33" t="s">
        <v>12</v>
      </c>
      <c r="F136" s="83" t="s">
        <v>78</v>
      </c>
      <c r="G136" s="67">
        <f t="shared" si="84"/>
        <v>16568.487499999999</v>
      </c>
      <c r="H136" s="67">
        <v>0</v>
      </c>
      <c r="I136" s="67">
        <v>0</v>
      </c>
      <c r="J136" s="71"/>
      <c r="K136" s="67"/>
      <c r="L136" s="69">
        <v>6435.9</v>
      </c>
      <c r="M136" s="67">
        <f t="shared" si="85"/>
        <v>23004.387499999997</v>
      </c>
      <c r="N136" s="70">
        <f t="shared" si="86"/>
        <v>0.38844221598380663</v>
      </c>
      <c r="P136" s="54"/>
      <c r="Q136" s="95">
        <f t="shared" si="75"/>
        <v>44734</v>
      </c>
      <c r="R136" s="55">
        <f t="shared" ref="R136" si="89">R135+V136</f>
        <v>119381.11744777985</v>
      </c>
      <c r="S136" s="94">
        <f t="shared" ref="S136" si="90">Q136</f>
        <v>44734</v>
      </c>
      <c r="T136" s="54">
        <f>V136</f>
        <v>2587.25</v>
      </c>
      <c r="U136" s="54"/>
      <c r="V136" s="50">
        <f t="shared" si="76"/>
        <v>2587.25</v>
      </c>
    </row>
    <row r="137" spans="1:22" ht="18.75" x14ac:dyDescent="0.3">
      <c r="D137" s="7"/>
      <c r="E137" s="34" t="s">
        <v>27</v>
      </c>
      <c r="F137" s="83" t="s">
        <v>81</v>
      </c>
      <c r="G137" s="67">
        <f t="shared" si="84"/>
        <v>23004.387499999997</v>
      </c>
      <c r="H137" s="67">
        <v>0</v>
      </c>
      <c r="I137" s="67">
        <v>0</v>
      </c>
      <c r="J137" s="71"/>
      <c r="K137" s="67"/>
      <c r="L137" s="69">
        <v>218.94</v>
      </c>
      <c r="M137" s="67">
        <f t="shared" si="85"/>
        <v>23223.327499999996</v>
      </c>
      <c r="N137" s="70">
        <f t="shared" si="86"/>
        <v>9.5173149035156883E-3</v>
      </c>
      <c r="P137" s="54"/>
      <c r="Q137" s="95">
        <f t="shared" ref="Q137" si="91">F170</f>
        <v>44764</v>
      </c>
      <c r="R137" s="55">
        <f t="shared" ref="R137" si="92">R136+V137</f>
        <v>120060.01744777984</v>
      </c>
      <c r="S137" s="94">
        <f t="shared" ref="S137" si="93">Q137</f>
        <v>44764</v>
      </c>
      <c r="T137" s="54">
        <f>V137</f>
        <v>678.9</v>
      </c>
      <c r="U137" s="54"/>
      <c r="V137" s="50">
        <f t="shared" ref="V137" si="94">L170</f>
        <v>678.9</v>
      </c>
    </row>
    <row r="138" spans="1:22" ht="18.75" x14ac:dyDescent="0.3">
      <c r="D138" s="7"/>
      <c r="E138" s="34" t="s">
        <v>28</v>
      </c>
      <c r="F138" s="83" t="s">
        <v>82</v>
      </c>
      <c r="G138" s="67">
        <f t="shared" si="84"/>
        <v>23223.327499999996</v>
      </c>
      <c r="H138" s="67">
        <v>0</v>
      </c>
      <c r="I138" s="67">
        <v>0</v>
      </c>
      <c r="J138" s="71"/>
      <c r="K138" s="67"/>
      <c r="L138" s="69">
        <v>-1424.63</v>
      </c>
      <c r="M138" s="67">
        <f t="shared" si="85"/>
        <v>21798.697499999995</v>
      </c>
      <c r="N138" s="70">
        <f t="shared" si="86"/>
        <v>-6.1344783601747006E-2</v>
      </c>
      <c r="Q138" s="95">
        <f t="shared" ref="Q138" si="95">F171</f>
        <v>44795</v>
      </c>
      <c r="R138" s="55">
        <f t="shared" ref="R138" si="96">R137+V138</f>
        <v>120018.81744777985</v>
      </c>
      <c r="S138" s="94">
        <f t="shared" ref="S138" si="97">Q138</f>
        <v>44795</v>
      </c>
      <c r="U138" s="54">
        <f>V138</f>
        <v>-41.2</v>
      </c>
      <c r="V138" s="50">
        <f t="shared" ref="V138" si="98">L171</f>
        <v>-41.2</v>
      </c>
    </row>
    <row r="139" spans="1:22" ht="18.75" x14ac:dyDescent="0.3">
      <c r="D139" s="7"/>
      <c r="E139" s="34" t="s">
        <v>30</v>
      </c>
      <c r="F139" s="83" t="s">
        <v>83</v>
      </c>
      <c r="G139" s="67">
        <f t="shared" si="84"/>
        <v>21798.697499999995</v>
      </c>
      <c r="H139" s="67">
        <v>0</v>
      </c>
      <c r="I139" s="67">
        <v>0</v>
      </c>
      <c r="J139" s="71"/>
      <c r="K139" s="67"/>
      <c r="L139" s="69">
        <v>-1305.28</v>
      </c>
      <c r="M139" s="67">
        <f t="shared" si="85"/>
        <v>20493.417499999996</v>
      </c>
      <c r="N139" s="70">
        <f t="shared" si="86"/>
        <v>-5.9878806979178474E-2</v>
      </c>
      <c r="Q139" s="95">
        <f t="shared" ref="Q139" si="99">F172</f>
        <v>44826</v>
      </c>
      <c r="R139" s="55">
        <f t="shared" ref="R139" si="100">R138+V139</f>
        <v>122056.15700437261</v>
      </c>
      <c r="S139" s="94">
        <f t="shared" ref="S139" si="101">Q139</f>
        <v>44826</v>
      </c>
      <c r="T139" s="101">
        <f>(L172&gt;0)*L172</f>
        <v>2037.3395565927653</v>
      </c>
      <c r="U139" s="54">
        <f>(L172&lt;0)*L172</f>
        <v>0</v>
      </c>
      <c r="V139" s="50">
        <f t="shared" ref="V139" si="102">L172</f>
        <v>2037.3395565927653</v>
      </c>
    </row>
    <row r="140" spans="1:22" ht="18.75" x14ac:dyDescent="0.3">
      <c r="D140" s="7"/>
      <c r="E140" s="34" t="s">
        <v>29</v>
      </c>
      <c r="F140" s="83" t="s">
        <v>84</v>
      </c>
      <c r="G140" s="67">
        <f t="shared" si="84"/>
        <v>20493.417499999996</v>
      </c>
      <c r="H140" s="67">
        <v>0</v>
      </c>
      <c r="I140" s="67">
        <v>0</v>
      </c>
      <c r="J140" s="71"/>
      <c r="K140" s="67"/>
      <c r="L140" s="69">
        <v>519.84</v>
      </c>
      <c r="M140" s="67">
        <f t="shared" si="85"/>
        <v>21013.257499999996</v>
      </c>
      <c r="N140" s="70">
        <f t="shared" si="86"/>
        <v>2.5366193803449334E-2</v>
      </c>
      <c r="Q140" s="95">
        <f t="shared" ref="Q140" si="103">F173</f>
        <v>44856</v>
      </c>
      <c r="R140" s="55">
        <f t="shared" ref="R140" si="104">R139+V140</f>
        <v>120916.3370043726</v>
      </c>
      <c r="S140" s="94">
        <f t="shared" ref="S140" si="105">Q140</f>
        <v>44856</v>
      </c>
      <c r="T140" s="101">
        <f>(L173&gt;0)*L173</f>
        <v>0</v>
      </c>
      <c r="U140" s="54">
        <f>(L173&lt;0)*L173</f>
        <v>-1139.82</v>
      </c>
      <c r="V140" s="50">
        <f t="shared" ref="V140" si="106">L173</f>
        <v>-1139.82</v>
      </c>
    </row>
    <row r="141" spans="1:22" ht="18.75" x14ac:dyDescent="0.3">
      <c r="F141" s="83" t="s">
        <v>85</v>
      </c>
      <c r="G141" s="67">
        <f t="shared" si="84"/>
        <v>21013.257499999996</v>
      </c>
      <c r="H141" s="67">
        <v>0</v>
      </c>
      <c r="I141" s="67">
        <v>0</v>
      </c>
      <c r="J141" s="71"/>
      <c r="K141" s="67"/>
      <c r="L141" s="69">
        <v>404.19</v>
      </c>
      <c r="M141" s="67">
        <f t="shared" si="85"/>
        <v>21417.447499999995</v>
      </c>
      <c r="N141" s="70">
        <f t="shared" si="86"/>
        <v>1.9234999618693106E-2</v>
      </c>
      <c r="Q141" s="95">
        <f t="shared" ref="Q141" si="107">F174</f>
        <v>44887</v>
      </c>
      <c r="R141" s="55">
        <f t="shared" ref="R141" si="108">R140+V141</f>
        <v>122159.84900437261</v>
      </c>
      <c r="S141" s="94">
        <f t="shared" ref="S141" si="109">Q141</f>
        <v>44887</v>
      </c>
      <c r="T141" s="101">
        <f>(L174&gt;0)*L174</f>
        <v>1243.5119999999999</v>
      </c>
      <c r="U141" s="54">
        <f>(L174&lt;0)*L174</f>
        <v>0</v>
      </c>
      <c r="V141" s="50">
        <f t="shared" ref="V141" si="110">L174</f>
        <v>1243.5119999999999</v>
      </c>
    </row>
    <row r="142" spans="1:22" ht="18.75" x14ac:dyDescent="0.3">
      <c r="A142" s="85" t="s">
        <v>79</v>
      </c>
      <c r="B142" s="86">
        <f>L147</f>
        <v>9602.3974999999991</v>
      </c>
      <c r="F142" s="83" t="s">
        <v>86</v>
      </c>
      <c r="G142" s="67">
        <f t="shared" si="84"/>
        <v>21417.447499999995</v>
      </c>
      <c r="H142" s="67">
        <v>0</v>
      </c>
      <c r="I142" s="67">
        <v>0</v>
      </c>
      <c r="J142" s="71"/>
      <c r="K142" s="67"/>
      <c r="L142" s="69">
        <v>0</v>
      </c>
      <c r="M142" s="67">
        <f t="shared" si="85"/>
        <v>21417.447499999995</v>
      </c>
      <c r="N142" s="70">
        <f t="shared" si="86"/>
        <v>0</v>
      </c>
      <c r="Q142" s="95">
        <f t="shared" ref="Q142" si="111">F175</f>
        <v>44917</v>
      </c>
      <c r="R142" s="55">
        <f t="shared" ref="R142" si="112">R141+V142</f>
        <v>121525.23700437261</v>
      </c>
      <c r="S142" s="94">
        <f t="shared" ref="S142" si="113">Q142</f>
        <v>44917</v>
      </c>
      <c r="T142" s="101">
        <f>(L175&gt;0)*L175</f>
        <v>0</v>
      </c>
      <c r="U142" s="54">
        <f>(L175&lt;0)*L175</f>
        <v>-634.61199999999997</v>
      </c>
      <c r="V142" s="50">
        <f t="shared" ref="V142" si="114">L175</f>
        <v>-634.61199999999997</v>
      </c>
    </row>
    <row r="143" spans="1:22" ht="18.75" x14ac:dyDescent="0.3">
      <c r="A143" s="85" t="s">
        <v>80</v>
      </c>
      <c r="B143" s="87">
        <f>N147</f>
        <v>0.76819179999999998</v>
      </c>
      <c r="F143" s="83" t="s">
        <v>87</v>
      </c>
      <c r="G143" s="67">
        <f t="shared" si="84"/>
        <v>21417.447499999995</v>
      </c>
      <c r="H143" s="67">
        <v>0</v>
      </c>
      <c r="I143" s="67">
        <v>0</v>
      </c>
      <c r="J143" s="71"/>
      <c r="K143" s="67"/>
      <c r="L143" s="69">
        <v>0</v>
      </c>
      <c r="M143" s="67">
        <f t="shared" si="85"/>
        <v>21417.447499999995</v>
      </c>
      <c r="N143" s="70">
        <f t="shared" si="86"/>
        <v>0</v>
      </c>
      <c r="Q143" s="95">
        <f t="shared" ref="Q143:Q148" si="115">F179</f>
        <v>44949</v>
      </c>
      <c r="R143" s="55">
        <f t="shared" ref="R143" si="116">R142+V143</f>
        <v>121805.98700437261</v>
      </c>
      <c r="S143" s="94">
        <f t="shared" ref="S143" si="117">Q143</f>
        <v>44949</v>
      </c>
      <c r="T143" s="101">
        <f t="shared" ref="T143:T148" si="118">(L179&gt;0)*L179</f>
        <v>280.75</v>
      </c>
      <c r="U143" s="54">
        <f t="shared" ref="U143:U148" si="119">(L179&lt;0)*L179</f>
        <v>0</v>
      </c>
      <c r="V143" s="50">
        <f t="shared" ref="V143:V148" si="120">L179</f>
        <v>280.75</v>
      </c>
    </row>
    <row r="144" spans="1:22" ht="18.75" x14ac:dyDescent="0.3">
      <c r="F144" s="83" t="s">
        <v>89</v>
      </c>
      <c r="G144" s="67">
        <f t="shared" si="84"/>
        <v>21417.447499999995</v>
      </c>
      <c r="H144" s="67">
        <v>0</v>
      </c>
      <c r="I144" s="67">
        <v>0</v>
      </c>
      <c r="J144" s="71"/>
      <c r="K144" s="67"/>
      <c r="L144" s="69">
        <v>425.25</v>
      </c>
      <c r="M144" s="67">
        <f t="shared" si="85"/>
        <v>21842.697499999995</v>
      </c>
      <c r="N144" s="70">
        <f t="shared" si="86"/>
        <v>1.9855307220900162E-2</v>
      </c>
      <c r="Q144" s="95">
        <f t="shared" si="115"/>
        <v>44979</v>
      </c>
      <c r="R144" s="55">
        <f t="shared" ref="R144" si="121">R143+V144</f>
        <v>122138.88700437261</v>
      </c>
      <c r="S144" s="94">
        <f t="shared" ref="S144" si="122">Q144</f>
        <v>44979</v>
      </c>
      <c r="T144" s="101">
        <f t="shared" si="118"/>
        <v>332.9</v>
      </c>
      <c r="U144" s="54">
        <f t="shared" si="119"/>
        <v>0</v>
      </c>
      <c r="V144" s="50">
        <f t="shared" si="120"/>
        <v>332.9</v>
      </c>
    </row>
    <row r="145" spans="1:22" ht="18.75" x14ac:dyDescent="0.3">
      <c r="F145" s="83" t="s">
        <v>91</v>
      </c>
      <c r="G145" s="67">
        <f t="shared" si="84"/>
        <v>21842.697499999995</v>
      </c>
      <c r="H145" s="67">
        <v>0</v>
      </c>
      <c r="I145" s="67">
        <v>0</v>
      </c>
      <c r="J145" s="71"/>
      <c r="K145" s="67"/>
      <c r="L145" s="69">
        <v>259.7</v>
      </c>
      <c r="M145" s="67">
        <f t="shared" si="85"/>
        <v>22102.397499999995</v>
      </c>
      <c r="N145" s="70">
        <f t="shared" si="86"/>
        <v>1.1889557139176608E-2</v>
      </c>
      <c r="Q145" s="95">
        <f t="shared" si="115"/>
        <v>45007</v>
      </c>
      <c r="R145" s="55">
        <f t="shared" ref="R145" si="123">R144+V145</f>
        <v>122958.97033770593</v>
      </c>
      <c r="S145" s="94">
        <f t="shared" ref="S145" si="124">Q145</f>
        <v>45007</v>
      </c>
      <c r="T145" s="101">
        <f t="shared" si="118"/>
        <v>820.08333333333337</v>
      </c>
      <c r="U145" s="54">
        <f t="shared" si="119"/>
        <v>0</v>
      </c>
      <c r="V145" s="50">
        <f t="shared" si="120"/>
        <v>820.08333333333337</v>
      </c>
    </row>
    <row r="146" spans="1:22" ht="18.75" x14ac:dyDescent="0.3">
      <c r="F146" s="72"/>
      <c r="G146" s="67"/>
      <c r="H146" s="72"/>
      <c r="I146" s="72"/>
      <c r="J146" s="73" t="s">
        <v>11</v>
      </c>
      <c r="K146" s="72" t="s">
        <v>11</v>
      </c>
      <c r="L146" s="72" t="s">
        <v>11</v>
      </c>
      <c r="M146" s="72"/>
      <c r="N146" s="72" t="s">
        <v>11</v>
      </c>
      <c r="Q146" s="95">
        <f t="shared" si="115"/>
        <v>45038</v>
      </c>
      <c r="R146" s="55">
        <f t="shared" ref="R146" si="125">R145+V146</f>
        <v>123599.17033770593</v>
      </c>
      <c r="S146" s="94">
        <f t="shared" ref="S146" si="126">Q146</f>
        <v>45038</v>
      </c>
      <c r="T146" s="101">
        <f t="shared" si="118"/>
        <v>640.20000000000005</v>
      </c>
      <c r="U146" s="54">
        <f t="shared" si="119"/>
        <v>0</v>
      </c>
      <c r="V146" s="50">
        <f t="shared" si="120"/>
        <v>640.20000000000005</v>
      </c>
    </row>
    <row r="147" spans="1:22" ht="18.75" x14ac:dyDescent="0.3">
      <c r="F147" s="72"/>
      <c r="G147" s="67"/>
      <c r="H147" s="72"/>
      <c r="I147" s="72"/>
      <c r="J147" s="75">
        <v>27345.22</v>
      </c>
      <c r="K147" s="67">
        <f>SUM(K123:K146)</f>
        <v>15019.124399999999</v>
      </c>
      <c r="L147" s="80">
        <f>SUM(L134:L146)</f>
        <v>9602.3974999999991</v>
      </c>
      <c r="M147" s="67"/>
      <c r="N147" s="78">
        <f>L147/G134</f>
        <v>0.76819179999999998</v>
      </c>
      <c r="O147" s="29">
        <v>12</v>
      </c>
      <c r="P147" s="54">
        <f>L147</f>
        <v>9602.3974999999991</v>
      </c>
      <c r="Q147" s="95">
        <f t="shared" si="115"/>
        <v>45068</v>
      </c>
      <c r="R147" s="55">
        <f t="shared" ref="R147" si="127">R146+V147</f>
        <v>123136.02748056308</v>
      </c>
      <c r="S147" s="94">
        <f t="shared" ref="S147" si="128">Q147</f>
        <v>45068</v>
      </c>
      <c r="T147" s="101">
        <f t="shared" si="118"/>
        <v>0</v>
      </c>
      <c r="U147" s="54">
        <f t="shared" si="119"/>
        <v>-463.14285714285717</v>
      </c>
      <c r="V147" s="50">
        <f t="shared" si="120"/>
        <v>-463.14285714285717</v>
      </c>
    </row>
    <row r="148" spans="1:22" ht="18.75" x14ac:dyDescent="0.3">
      <c r="F148" s="72"/>
      <c r="G148" s="67"/>
      <c r="H148" s="72"/>
      <c r="I148" s="72"/>
      <c r="J148" s="75"/>
      <c r="K148" s="67"/>
      <c r="L148" s="80"/>
      <c r="M148" s="67"/>
      <c r="N148" s="78"/>
      <c r="P148" s="54"/>
      <c r="Q148" s="95">
        <f t="shared" si="115"/>
        <v>45099</v>
      </c>
      <c r="R148" s="55">
        <f t="shared" ref="R148" si="129">R147+V148</f>
        <v>124437.27748056308</v>
      </c>
      <c r="S148" s="94">
        <f t="shared" ref="S148" si="130">Q148</f>
        <v>45099</v>
      </c>
      <c r="T148" s="101">
        <f t="shared" si="118"/>
        <v>1301.25</v>
      </c>
      <c r="U148" s="54">
        <f t="shared" si="119"/>
        <v>0</v>
      </c>
      <c r="V148" s="50">
        <f t="shared" si="120"/>
        <v>1301.25</v>
      </c>
    </row>
    <row r="149" spans="1:22" ht="18.75" x14ac:dyDescent="0.3">
      <c r="F149" s="66">
        <v>44217</v>
      </c>
      <c r="G149" s="67">
        <f>G134</f>
        <v>12500</v>
      </c>
      <c r="H149" s="67">
        <f t="shared" ref="H149:H153" si="131">H145</f>
        <v>0</v>
      </c>
      <c r="I149" s="67">
        <f>G134-M145</f>
        <v>-9602.3974999999955</v>
      </c>
      <c r="J149" s="75"/>
      <c r="K149" s="67"/>
      <c r="L149" s="69">
        <v>246.75</v>
      </c>
      <c r="M149" s="67">
        <f t="shared" ref="M149:M158" si="132">L149+G149</f>
        <v>12746.75</v>
      </c>
      <c r="N149" s="70">
        <f t="shared" ref="N149:N158" si="133">L149/G149</f>
        <v>1.9740000000000001E-2</v>
      </c>
      <c r="P149" s="54"/>
      <c r="Q149" s="95">
        <f t="shared" ref="Q149" si="134">F185</f>
        <v>45129</v>
      </c>
      <c r="R149" s="55">
        <f t="shared" ref="R149" si="135">R148+V149</f>
        <v>124974.47748056307</v>
      </c>
      <c r="S149" s="94">
        <f t="shared" ref="S149" si="136">Q149</f>
        <v>45129</v>
      </c>
      <c r="T149" s="101">
        <f t="shared" ref="T149" si="137">(L185&gt;0)*L185</f>
        <v>537.20000000000005</v>
      </c>
      <c r="U149" s="54">
        <f t="shared" ref="U149" si="138">(L185&lt;0)*L185</f>
        <v>0</v>
      </c>
      <c r="V149" s="50">
        <f t="shared" ref="V149" si="139">L185</f>
        <v>537.20000000000005</v>
      </c>
    </row>
    <row r="150" spans="1:22" ht="18.75" x14ac:dyDescent="0.3">
      <c r="F150" s="66">
        <v>44248</v>
      </c>
      <c r="G150" s="67">
        <f t="shared" ref="G150:G158" si="140">M149</f>
        <v>12746.75</v>
      </c>
      <c r="H150" s="67">
        <f t="shared" si="131"/>
        <v>0</v>
      </c>
      <c r="I150" s="67">
        <f>I146</f>
        <v>0</v>
      </c>
      <c r="J150" s="75"/>
      <c r="K150" s="67"/>
      <c r="L150" s="69">
        <f>39*5</f>
        <v>195</v>
      </c>
      <c r="M150" s="67">
        <f t="shared" si="132"/>
        <v>12941.75</v>
      </c>
      <c r="N150" s="70">
        <f t="shared" si="133"/>
        <v>1.5298017141624336E-2</v>
      </c>
      <c r="P150" s="54"/>
      <c r="Q150" s="95"/>
      <c r="S150" s="94"/>
      <c r="U150" s="54"/>
      <c r="V150" s="50"/>
    </row>
    <row r="151" spans="1:22" ht="18.75" x14ac:dyDescent="0.3">
      <c r="F151" s="66">
        <v>44276</v>
      </c>
      <c r="G151" s="67">
        <f t="shared" si="140"/>
        <v>12941.75</v>
      </c>
      <c r="H151" s="67">
        <f t="shared" si="131"/>
        <v>0</v>
      </c>
      <c r="I151" s="67">
        <f>I147</f>
        <v>0</v>
      </c>
      <c r="J151" s="75"/>
      <c r="K151" s="67"/>
      <c r="L151" s="69">
        <v>91.25</v>
      </c>
      <c r="M151" s="67">
        <f t="shared" si="132"/>
        <v>13033</v>
      </c>
      <c r="N151" s="70">
        <f t="shared" si="133"/>
        <v>7.0508238839415071E-3</v>
      </c>
      <c r="P151" s="54"/>
      <c r="Q151" s="95"/>
      <c r="S151" s="94"/>
      <c r="U151" s="54"/>
      <c r="V151" s="50"/>
    </row>
    <row r="152" spans="1:22" ht="18.75" x14ac:dyDescent="0.3">
      <c r="A152" t="s">
        <v>73</v>
      </c>
      <c r="F152" s="66">
        <v>44307</v>
      </c>
      <c r="G152" s="67">
        <f t="shared" si="140"/>
        <v>13033</v>
      </c>
      <c r="H152" s="67">
        <f t="shared" si="131"/>
        <v>0</v>
      </c>
      <c r="I152" s="67">
        <f>I148</f>
        <v>0</v>
      </c>
      <c r="J152" s="75"/>
      <c r="K152" s="67"/>
      <c r="L152" s="69">
        <v>1066.25</v>
      </c>
      <c r="M152" s="67">
        <f t="shared" si="132"/>
        <v>14099.25</v>
      </c>
      <c r="N152" s="70">
        <f t="shared" si="133"/>
        <v>8.1811555282743809E-2</v>
      </c>
      <c r="P152" s="54"/>
      <c r="Q152" s="95"/>
      <c r="S152" s="94"/>
      <c r="U152" s="54"/>
      <c r="V152" s="50"/>
    </row>
    <row r="153" spans="1:22" ht="18.75" x14ac:dyDescent="0.3">
      <c r="F153" s="66">
        <v>44337</v>
      </c>
      <c r="G153" s="67">
        <f t="shared" si="140"/>
        <v>14099.25</v>
      </c>
      <c r="H153" s="67">
        <f t="shared" si="131"/>
        <v>0</v>
      </c>
      <c r="I153" s="67">
        <v>0</v>
      </c>
      <c r="J153" s="75"/>
      <c r="K153" s="67"/>
      <c r="L153" s="69">
        <v>-375.25</v>
      </c>
      <c r="M153" s="67">
        <f t="shared" si="132"/>
        <v>13724</v>
      </c>
      <c r="N153" s="70">
        <f t="shared" si="133"/>
        <v>-2.6614890862989165E-2</v>
      </c>
      <c r="P153" s="54"/>
      <c r="Q153" s="95"/>
      <c r="S153" s="94"/>
      <c r="U153" s="54"/>
      <c r="V153" s="50"/>
    </row>
    <row r="154" spans="1:22" ht="18.75" x14ac:dyDescent="0.3">
      <c r="F154" s="66">
        <v>44368</v>
      </c>
      <c r="G154" s="67">
        <f t="shared" si="140"/>
        <v>13724</v>
      </c>
      <c r="H154" s="67">
        <f t="shared" ref="H154:H160" si="141">H153</f>
        <v>0</v>
      </c>
      <c r="I154" s="67">
        <v>0</v>
      </c>
      <c r="J154" s="75"/>
      <c r="K154" s="67"/>
      <c r="L154" s="69">
        <v>410</v>
      </c>
      <c r="M154" s="67">
        <f t="shared" si="132"/>
        <v>14134</v>
      </c>
      <c r="N154" s="70">
        <f t="shared" si="133"/>
        <v>2.9874672107257361E-2</v>
      </c>
      <c r="P154" s="54"/>
      <c r="Q154" s="95"/>
      <c r="S154" s="94"/>
      <c r="T154" s="54"/>
      <c r="U154" s="54"/>
      <c r="V154" s="50"/>
    </row>
    <row r="155" spans="1:22" ht="18.75" x14ac:dyDescent="0.3">
      <c r="F155" s="66">
        <v>44398</v>
      </c>
      <c r="G155" s="67">
        <f t="shared" si="140"/>
        <v>14134</v>
      </c>
      <c r="H155" s="67">
        <f t="shared" si="141"/>
        <v>0</v>
      </c>
      <c r="I155" s="67">
        <v>0</v>
      </c>
      <c r="J155" s="75"/>
      <c r="K155" s="67"/>
      <c r="L155" s="69">
        <v>1466.4</v>
      </c>
      <c r="M155" s="67">
        <f t="shared" si="132"/>
        <v>15600.4</v>
      </c>
      <c r="N155" s="70">
        <f t="shared" si="133"/>
        <v>0.10374982312155087</v>
      </c>
      <c r="P155" s="54"/>
      <c r="Q155" s="95"/>
      <c r="S155" s="94"/>
      <c r="U155" s="54"/>
      <c r="V155" s="50"/>
    </row>
    <row r="156" spans="1:22" ht="18.75" x14ac:dyDescent="0.3">
      <c r="F156" s="66">
        <v>44429</v>
      </c>
      <c r="G156" s="67">
        <f t="shared" si="140"/>
        <v>15600.4</v>
      </c>
      <c r="H156" s="67">
        <f t="shared" si="141"/>
        <v>0</v>
      </c>
      <c r="I156" s="67">
        <v>0</v>
      </c>
      <c r="J156" s="75"/>
      <c r="K156" s="67"/>
      <c r="L156" s="69">
        <v>690.25</v>
      </c>
      <c r="M156" s="67">
        <f t="shared" si="132"/>
        <v>16290.65</v>
      </c>
      <c r="N156" s="70">
        <f t="shared" si="133"/>
        <v>4.4245660367682883E-2</v>
      </c>
      <c r="P156" s="54"/>
      <c r="Q156" s="95"/>
      <c r="S156" s="95"/>
    </row>
    <row r="157" spans="1:22" ht="18.75" x14ac:dyDescent="0.3">
      <c r="F157" s="66">
        <v>44460</v>
      </c>
      <c r="G157" s="67">
        <f t="shared" si="140"/>
        <v>16290.65</v>
      </c>
      <c r="H157" s="67">
        <f t="shared" si="141"/>
        <v>0</v>
      </c>
      <c r="I157" s="67">
        <v>0</v>
      </c>
      <c r="J157" s="75"/>
      <c r="K157" s="67"/>
      <c r="L157" s="69">
        <f>92.9*2</f>
        <v>185.8</v>
      </c>
      <c r="M157" s="67">
        <f t="shared" si="132"/>
        <v>16476.45</v>
      </c>
      <c r="N157" s="70">
        <f t="shared" si="133"/>
        <v>1.1405315318909927E-2</v>
      </c>
      <c r="P157" s="54"/>
      <c r="Q157" s="95"/>
      <c r="S157" s="95"/>
    </row>
    <row r="158" spans="1:22" ht="18.75" x14ac:dyDescent="0.3">
      <c r="B158" s="17" t="s">
        <v>74</v>
      </c>
      <c r="F158" s="66">
        <v>44490</v>
      </c>
      <c r="G158" s="67">
        <f t="shared" si="140"/>
        <v>16476.45</v>
      </c>
      <c r="H158" s="67">
        <f t="shared" si="141"/>
        <v>0</v>
      </c>
      <c r="I158" s="67">
        <v>0</v>
      </c>
      <c r="J158" s="75"/>
      <c r="K158" s="67"/>
      <c r="L158" s="69">
        <v>12.5</v>
      </c>
      <c r="M158" s="67">
        <f t="shared" si="132"/>
        <v>16488.95</v>
      </c>
      <c r="N158" s="70">
        <f t="shared" si="133"/>
        <v>7.5865857026240484E-4</v>
      </c>
      <c r="P158" s="54"/>
      <c r="Q158" s="95"/>
      <c r="S158" s="95"/>
    </row>
    <row r="159" spans="1:22" ht="18.75" x14ac:dyDescent="0.3">
      <c r="B159" s="17" t="s">
        <v>75</v>
      </c>
      <c r="F159" s="66">
        <v>44521</v>
      </c>
      <c r="G159" s="67">
        <f t="shared" ref="G159:G160" si="142">M158</f>
        <v>16488.95</v>
      </c>
      <c r="H159" s="67">
        <f t="shared" si="141"/>
        <v>0</v>
      </c>
      <c r="I159" s="67">
        <v>0</v>
      </c>
      <c r="J159" s="75"/>
      <c r="K159" s="67"/>
      <c r="L159" s="69">
        <v>-178.75</v>
      </c>
      <c r="M159" s="67">
        <f t="shared" ref="M159:M160" si="143">L159+G159</f>
        <v>16310.2</v>
      </c>
      <c r="N159" s="70">
        <f t="shared" ref="N159:N160" si="144">L159/G159</f>
        <v>-1.084059324577975E-2</v>
      </c>
      <c r="P159" s="54"/>
      <c r="Q159" s="95"/>
      <c r="S159" s="95"/>
    </row>
    <row r="160" spans="1:22" ht="18.75" x14ac:dyDescent="0.3">
      <c r="F160" s="66">
        <v>44916</v>
      </c>
      <c r="G160" s="67">
        <f t="shared" si="142"/>
        <v>16310.2</v>
      </c>
      <c r="H160" s="67">
        <f t="shared" si="141"/>
        <v>0</v>
      </c>
      <c r="I160" s="67">
        <f>I159</f>
        <v>0</v>
      </c>
      <c r="J160" s="75"/>
      <c r="K160" s="67"/>
      <c r="L160" s="69">
        <v>-970.25</v>
      </c>
      <c r="M160" s="67">
        <f t="shared" si="143"/>
        <v>15339.95</v>
      </c>
      <c r="N160" s="70">
        <f t="shared" si="144"/>
        <v>-5.9487314686515184E-2</v>
      </c>
      <c r="P160" s="54"/>
    </row>
    <row r="161" spans="6:23" ht="18.75" x14ac:dyDescent="0.3">
      <c r="F161" s="72"/>
      <c r="G161" s="67"/>
      <c r="H161" s="72"/>
      <c r="I161" s="72"/>
      <c r="J161" s="75"/>
      <c r="K161" s="67"/>
      <c r="L161" s="72" t="s">
        <v>11</v>
      </c>
      <c r="M161" s="72"/>
      <c r="N161" s="72" t="s">
        <v>11</v>
      </c>
    </row>
    <row r="162" spans="6:23" ht="18.75" x14ac:dyDescent="0.3">
      <c r="F162" s="72"/>
      <c r="G162" s="67"/>
      <c r="H162" s="72"/>
      <c r="I162" s="72"/>
      <c r="J162" s="75"/>
      <c r="K162" s="67"/>
      <c r="L162" s="80">
        <f>SUM(L149:L161)</f>
        <v>2839.9500000000003</v>
      </c>
      <c r="M162" s="67"/>
      <c r="N162" s="78">
        <f>L162/G149</f>
        <v>0.22719600000000001</v>
      </c>
      <c r="O162" s="29">
        <v>12</v>
      </c>
      <c r="P162" s="54">
        <f>L162</f>
        <v>2839.9500000000003</v>
      </c>
    </row>
    <row r="163" spans="6:23" ht="18.75" x14ac:dyDescent="0.3">
      <c r="F163" s="72"/>
      <c r="G163" s="67"/>
      <c r="H163" s="72"/>
      <c r="I163" s="72"/>
      <c r="J163" s="75"/>
      <c r="K163" s="67"/>
      <c r="L163" s="80"/>
      <c r="M163" s="67"/>
      <c r="N163" s="78"/>
      <c r="P163" s="54"/>
    </row>
    <row r="164" spans="6:23" ht="18.75" x14ac:dyDescent="0.3">
      <c r="F164" s="100">
        <v>44582</v>
      </c>
      <c r="G164" s="67">
        <f>G149</f>
        <v>12500</v>
      </c>
      <c r="H164" s="67">
        <f t="shared" ref="H164:H175" si="145">H160</f>
        <v>0</v>
      </c>
      <c r="I164" s="67">
        <f>G149-M160</f>
        <v>-2839.9500000000007</v>
      </c>
      <c r="J164" s="75"/>
      <c r="K164" s="67"/>
      <c r="L164" s="69">
        <v>2535.9699999999998</v>
      </c>
      <c r="M164" s="67">
        <f t="shared" ref="M164:M169" si="146">L164+G164</f>
        <v>15035.97</v>
      </c>
      <c r="N164" s="70">
        <f t="shared" ref="N164:N169" si="147">L164/G164</f>
        <v>0.20287759999999999</v>
      </c>
      <c r="P164" s="54"/>
    </row>
    <row r="165" spans="6:23" ht="18.75" x14ac:dyDescent="0.3">
      <c r="F165" s="100">
        <v>44614</v>
      </c>
      <c r="G165" s="67">
        <f t="shared" ref="G165:G170" si="148">M164</f>
        <v>15035.97</v>
      </c>
      <c r="H165" s="67">
        <f t="shared" si="145"/>
        <v>0</v>
      </c>
      <c r="I165" s="67">
        <f>I160</f>
        <v>0</v>
      </c>
      <c r="J165" s="75"/>
      <c r="K165" s="67"/>
      <c r="L165" s="69">
        <f>648.15*2</f>
        <v>1296.3</v>
      </c>
      <c r="M165" s="67">
        <f t="shared" si="146"/>
        <v>16332.269999999999</v>
      </c>
      <c r="N165" s="70">
        <f t="shared" si="147"/>
        <v>8.6213260601078617E-2</v>
      </c>
      <c r="P165" s="54"/>
    </row>
    <row r="166" spans="6:23" ht="18.75" x14ac:dyDescent="0.3">
      <c r="F166" s="100">
        <v>44642</v>
      </c>
      <c r="G166" s="67">
        <f t="shared" si="148"/>
        <v>16332.269999999999</v>
      </c>
      <c r="H166" s="67">
        <f t="shared" si="145"/>
        <v>0</v>
      </c>
      <c r="I166" s="67">
        <f t="shared" ref="I166:I171" si="149">I165</f>
        <v>0</v>
      </c>
      <c r="J166" s="75"/>
      <c r="K166" s="67"/>
      <c r="L166" s="69">
        <f>2911.12*0.19</f>
        <v>553.11279999999999</v>
      </c>
      <c r="M166" s="67">
        <f t="shared" si="146"/>
        <v>16885.382799999999</v>
      </c>
      <c r="N166" s="70">
        <f t="shared" si="147"/>
        <v>3.3866253741825232E-2</v>
      </c>
      <c r="P166" s="54"/>
    </row>
    <row r="167" spans="6:23" ht="18.75" x14ac:dyDescent="0.3">
      <c r="F167" s="100">
        <v>44673</v>
      </c>
      <c r="G167" s="67">
        <f t="shared" si="148"/>
        <v>16885.382799999999</v>
      </c>
      <c r="H167" s="67">
        <f t="shared" si="145"/>
        <v>0</v>
      </c>
      <c r="I167" s="67">
        <f t="shared" si="149"/>
        <v>0</v>
      </c>
      <c r="J167" s="75"/>
      <c r="K167" s="67"/>
      <c r="L167" s="69">
        <v>908.75</v>
      </c>
      <c r="M167" s="67">
        <f t="shared" si="146"/>
        <v>17794.132799999999</v>
      </c>
      <c r="N167" s="70">
        <f t="shared" si="147"/>
        <v>5.3818738417940992E-2</v>
      </c>
      <c r="P167" s="54"/>
    </row>
    <row r="168" spans="6:23" ht="18.75" x14ac:dyDescent="0.3">
      <c r="F168" s="100">
        <v>44703</v>
      </c>
      <c r="G168" s="67">
        <f t="shared" si="148"/>
        <v>17794.132799999999</v>
      </c>
      <c r="H168" s="67">
        <f t="shared" si="145"/>
        <v>0</v>
      </c>
      <c r="I168" s="67">
        <f t="shared" si="149"/>
        <v>0</v>
      </c>
      <c r="J168" s="75"/>
      <c r="K168" s="67"/>
      <c r="L168" s="69">
        <v>-211.57</v>
      </c>
      <c r="M168" s="67">
        <f t="shared" si="146"/>
        <v>17582.5628</v>
      </c>
      <c r="N168" s="70">
        <f t="shared" si="147"/>
        <v>-1.1889874172457564E-2</v>
      </c>
      <c r="P168" s="54"/>
      <c r="W168" t="s">
        <v>92</v>
      </c>
    </row>
    <row r="169" spans="6:23" ht="18.75" x14ac:dyDescent="0.3">
      <c r="F169" s="100">
        <v>44734</v>
      </c>
      <c r="G169" s="67">
        <f t="shared" si="148"/>
        <v>17582.5628</v>
      </c>
      <c r="H169" s="67">
        <f t="shared" si="145"/>
        <v>0</v>
      </c>
      <c r="I169" s="67">
        <f t="shared" si="149"/>
        <v>0</v>
      </c>
      <c r="J169" s="75"/>
      <c r="K169" s="67"/>
      <c r="L169" s="69">
        <v>2587.25</v>
      </c>
      <c r="M169" s="67">
        <f t="shared" si="146"/>
        <v>20169.8128</v>
      </c>
      <c r="N169" s="70">
        <f t="shared" si="147"/>
        <v>0.14714862841269077</v>
      </c>
      <c r="P169" s="54"/>
    </row>
    <row r="170" spans="6:23" ht="18.75" x14ac:dyDescent="0.3">
      <c r="F170" s="100">
        <v>44764</v>
      </c>
      <c r="G170" s="67">
        <f t="shared" si="148"/>
        <v>20169.8128</v>
      </c>
      <c r="H170" s="67">
        <f t="shared" si="145"/>
        <v>0</v>
      </c>
      <c r="I170" s="67">
        <f t="shared" si="149"/>
        <v>0</v>
      </c>
      <c r="J170" s="75"/>
      <c r="K170" s="67"/>
      <c r="L170" s="69">
        <v>678.9</v>
      </c>
      <c r="M170" s="67">
        <f t="shared" ref="M170" si="150">L170+G170</f>
        <v>20848.712800000001</v>
      </c>
      <c r="N170" s="70">
        <f t="shared" ref="N170" si="151">L170/G170</f>
        <v>3.3659211750344059E-2</v>
      </c>
      <c r="P170" s="54"/>
    </row>
    <row r="171" spans="6:23" ht="18.75" x14ac:dyDescent="0.3">
      <c r="F171" s="100">
        <v>44795</v>
      </c>
      <c r="G171" s="67">
        <f t="shared" ref="G171" si="152">M170</f>
        <v>20848.712800000001</v>
      </c>
      <c r="H171" s="67">
        <f t="shared" si="145"/>
        <v>0</v>
      </c>
      <c r="I171" s="67">
        <f t="shared" si="149"/>
        <v>0</v>
      </c>
      <c r="J171" s="75"/>
      <c r="K171" s="67"/>
      <c r="L171" s="69">
        <v>-41.2</v>
      </c>
      <c r="M171" s="67">
        <f t="shared" ref="M171" si="153">L171+G171</f>
        <v>20807.5128</v>
      </c>
      <c r="N171" s="70">
        <f t="shared" ref="N171" si="154">L171/G171</f>
        <v>-1.9761411841214484E-3</v>
      </c>
      <c r="P171" s="54"/>
    </row>
    <row r="172" spans="6:23" ht="18.75" x14ac:dyDescent="0.3">
      <c r="F172" s="100">
        <v>44826</v>
      </c>
      <c r="G172" s="67">
        <f t="shared" ref="G172" si="155">M171</f>
        <v>20807.5128</v>
      </c>
      <c r="H172" s="67">
        <f t="shared" si="145"/>
        <v>0</v>
      </c>
      <c r="I172" s="67">
        <f t="shared" ref="I172:I175" si="156">I171</f>
        <v>0</v>
      </c>
      <c r="J172" s="75"/>
      <c r="K172" s="67"/>
      <c r="L172" s="69">
        <f>17460/8.57</f>
        <v>2037.3395565927653</v>
      </c>
      <c r="M172" s="67">
        <f t="shared" ref="M172" si="157">L172+G172</f>
        <v>22844.852356592764</v>
      </c>
      <c r="N172" s="70">
        <f t="shared" ref="N172" si="158">L172/G172</f>
        <v>9.7913651486148084E-2</v>
      </c>
      <c r="P172" s="54"/>
    </row>
    <row r="173" spans="6:23" ht="18.75" x14ac:dyDescent="0.3">
      <c r="F173" s="100">
        <v>44856</v>
      </c>
      <c r="G173" s="67">
        <f t="shared" ref="G173" si="159">M172</f>
        <v>22844.852356592764</v>
      </c>
      <c r="H173" s="67">
        <f t="shared" si="145"/>
        <v>0</v>
      </c>
      <c r="I173" s="67">
        <f t="shared" si="156"/>
        <v>0</v>
      </c>
      <c r="J173" s="75"/>
      <c r="K173" s="67"/>
      <c r="L173" s="69">
        <f>9498.5*-0.12</f>
        <v>-1139.82</v>
      </c>
      <c r="M173" s="67">
        <f t="shared" ref="M173" si="160">L173+G173</f>
        <v>21705.032356592765</v>
      </c>
      <c r="N173" s="70">
        <f t="shared" ref="N173" si="161">L173/G173</f>
        <v>-4.9893953447725431E-2</v>
      </c>
      <c r="P173" s="54"/>
    </row>
    <row r="174" spans="6:23" ht="18.75" x14ac:dyDescent="0.3">
      <c r="F174" s="100">
        <v>44887</v>
      </c>
      <c r="G174" s="67">
        <f t="shared" ref="G174" si="162">M173</f>
        <v>21705.032356592765</v>
      </c>
      <c r="H174" s="67">
        <f t="shared" si="145"/>
        <v>0</v>
      </c>
      <c r="I174" s="67">
        <f t="shared" si="156"/>
        <v>0</v>
      </c>
      <c r="J174" s="75"/>
      <c r="K174" s="67"/>
      <c r="L174" s="69">
        <f>8290.08*0.15</f>
        <v>1243.5119999999999</v>
      </c>
      <c r="M174" s="67">
        <f t="shared" ref="M174" si="163">L174+G174</f>
        <v>22948.544356592764</v>
      </c>
      <c r="N174" s="70">
        <f t="shared" ref="N174" si="164">L174/G174</f>
        <v>5.7291414247640643E-2</v>
      </c>
      <c r="P174" s="54"/>
    </row>
    <row r="175" spans="6:23" ht="18.75" x14ac:dyDescent="0.3">
      <c r="F175" s="100">
        <v>44917</v>
      </c>
      <c r="G175" s="67">
        <f t="shared" ref="G175" si="165">M174</f>
        <v>22948.544356592764</v>
      </c>
      <c r="H175" s="67">
        <f t="shared" si="145"/>
        <v>0</v>
      </c>
      <c r="I175" s="67">
        <f t="shared" si="156"/>
        <v>0</v>
      </c>
      <c r="J175" s="75"/>
      <c r="K175" s="67"/>
      <c r="L175" s="69">
        <f>-6346.12/10</f>
        <v>-634.61199999999997</v>
      </c>
      <c r="M175" s="67">
        <f t="shared" ref="M175" si="166">L175+G175</f>
        <v>22313.932356592763</v>
      </c>
      <c r="N175" s="70">
        <f t="shared" ref="N175" si="167">L175/G175</f>
        <v>-2.7653692981083819E-2</v>
      </c>
      <c r="P175" s="54"/>
    </row>
    <row r="176" spans="6:23" ht="18.75" x14ac:dyDescent="0.3">
      <c r="F176" s="72"/>
      <c r="G176" s="67"/>
      <c r="H176" s="72"/>
      <c r="I176" s="72"/>
      <c r="J176" s="73" t="s">
        <v>11</v>
      </c>
      <c r="K176" s="72" t="s">
        <v>11</v>
      </c>
      <c r="L176" s="72" t="s">
        <v>11</v>
      </c>
      <c r="M176" s="72"/>
      <c r="N176" s="72" t="s">
        <v>11</v>
      </c>
      <c r="P176" s="54"/>
    </row>
    <row r="177" spans="2:16" ht="18.75" x14ac:dyDescent="0.3">
      <c r="B177" s="17" t="s">
        <v>76</v>
      </c>
      <c r="F177" s="72"/>
      <c r="G177" s="67"/>
      <c r="H177" s="72"/>
      <c r="I177" s="72"/>
      <c r="J177" s="75">
        <v>27345.22</v>
      </c>
      <c r="K177" s="67">
        <f>SUM(K142:K176)</f>
        <v>15019.124399999999</v>
      </c>
      <c r="L177" s="80">
        <f>SUM(L164:L176)</f>
        <v>9813.9323565927662</v>
      </c>
      <c r="M177" s="67"/>
      <c r="N177" s="78">
        <f>L177/G153</f>
        <v>0.69606059588933922</v>
      </c>
      <c r="O177" s="29">
        <v>12</v>
      </c>
      <c r="P177" s="54">
        <f>L177</f>
        <v>9813.9323565927662</v>
      </c>
    </row>
    <row r="178" spans="2:16" ht="18.75" x14ac:dyDescent="0.3">
      <c r="B178" s="17" t="s">
        <v>77</v>
      </c>
      <c r="F178" s="72"/>
      <c r="G178" s="67"/>
      <c r="H178" s="72"/>
      <c r="I178" s="72"/>
      <c r="J178" s="75"/>
      <c r="K178" s="67"/>
      <c r="L178" s="80"/>
      <c r="M178" s="67"/>
      <c r="N178" s="78"/>
      <c r="P178" s="54"/>
    </row>
    <row r="179" spans="2:16" ht="18.75" x14ac:dyDescent="0.3">
      <c r="F179" s="100">
        <v>44949</v>
      </c>
      <c r="G179" s="67">
        <f>G164</f>
        <v>12500</v>
      </c>
      <c r="H179" s="67">
        <f>H172</f>
        <v>0</v>
      </c>
      <c r="I179" s="67">
        <f>-L177</f>
        <v>-9813.9323565927662</v>
      </c>
      <c r="J179" s="75"/>
      <c r="K179" s="67"/>
      <c r="L179" s="69">
        <v>280.75</v>
      </c>
      <c r="M179" s="67">
        <f t="shared" ref="M179" si="168">L179+G179</f>
        <v>12780.75</v>
      </c>
      <c r="N179" s="70">
        <f t="shared" ref="N179" si="169">L179/G179</f>
        <v>2.2460000000000001E-2</v>
      </c>
      <c r="P179" s="54"/>
    </row>
    <row r="180" spans="2:16" ht="18.75" x14ac:dyDescent="0.3">
      <c r="F180" s="100">
        <v>44979</v>
      </c>
      <c r="G180" s="67">
        <f t="shared" ref="G180" si="170">M179</f>
        <v>12780.75</v>
      </c>
      <c r="H180" s="67">
        <f t="shared" ref="H180:H186" si="171">H176</f>
        <v>0</v>
      </c>
      <c r="I180" s="67">
        <v>0</v>
      </c>
      <c r="J180" s="75"/>
      <c r="K180" s="67"/>
      <c r="L180" s="69">
        <v>332.9</v>
      </c>
      <c r="M180" s="67">
        <f t="shared" ref="M180" si="172">L180+G180</f>
        <v>13113.65</v>
      </c>
      <c r="N180" s="70">
        <f t="shared" ref="N180" si="173">L180/G180</f>
        <v>2.6046984723118751E-2</v>
      </c>
      <c r="P180" s="54"/>
    </row>
    <row r="181" spans="2:16" ht="18.75" x14ac:dyDescent="0.3">
      <c r="F181" s="100">
        <v>45007</v>
      </c>
      <c r="G181" s="67">
        <f t="shared" ref="G181" si="174">M180</f>
        <v>13113.65</v>
      </c>
      <c r="H181" s="67">
        <f t="shared" si="171"/>
        <v>0</v>
      </c>
      <c r="I181" s="67">
        <f t="shared" ref="I181:I186" si="175">I180</f>
        <v>0</v>
      </c>
      <c r="J181" s="75"/>
      <c r="K181" s="67"/>
      <c r="L181" s="69">
        <f>4920.5/6</f>
        <v>820.08333333333337</v>
      </c>
      <c r="M181" s="67">
        <f t="shared" ref="M181" si="176">L181+G181</f>
        <v>13933.733333333334</v>
      </c>
      <c r="N181" s="70">
        <f t="shared" ref="N181" si="177">L181/G181</f>
        <v>6.2536618968276059E-2</v>
      </c>
      <c r="P181" s="54"/>
    </row>
    <row r="182" spans="2:16" ht="18.75" x14ac:dyDescent="0.3">
      <c r="F182" s="100">
        <v>45038</v>
      </c>
      <c r="G182" s="67">
        <f t="shared" ref="G182" si="178">M181</f>
        <v>13933.733333333334</v>
      </c>
      <c r="H182" s="67">
        <f t="shared" si="171"/>
        <v>0</v>
      </c>
      <c r="I182" s="67">
        <f t="shared" si="175"/>
        <v>0</v>
      </c>
      <c r="J182" s="75"/>
      <c r="K182" s="67"/>
      <c r="L182" s="69">
        <v>640.20000000000005</v>
      </c>
      <c r="M182" s="67">
        <f t="shared" ref="M182" si="179">L182+G182</f>
        <v>14573.933333333334</v>
      </c>
      <c r="N182" s="70">
        <f t="shared" ref="N182" si="180">L182/G182</f>
        <v>4.5946049395711133E-2</v>
      </c>
      <c r="P182" s="54"/>
    </row>
    <row r="183" spans="2:16" ht="18.75" x14ac:dyDescent="0.3">
      <c r="F183" s="100">
        <v>45068</v>
      </c>
      <c r="G183" s="67">
        <f t="shared" ref="G183" si="181">M182</f>
        <v>14573.933333333334</v>
      </c>
      <c r="H183" s="67">
        <f t="shared" si="171"/>
        <v>0</v>
      </c>
      <c r="I183" s="67">
        <f t="shared" si="175"/>
        <v>0</v>
      </c>
      <c r="J183" s="75"/>
      <c r="K183" s="67"/>
      <c r="L183" s="69">
        <f>-3242/7</f>
        <v>-463.14285714285717</v>
      </c>
      <c r="M183" s="67">
        <f t="shared" ref="M183" si="182">L183+G183</f>
        <v>14110.790476190477</v>
      </c>
      <c r="N183" s="70">
        <f t="shared" ref="N183" si="183">L183/G183</f>
        <v>-3.1778851086381885E-2</v>
      </c>
      <c r="P183" s="54"/>
    </row>
    <row r="184" spans="2:16" ht="18.75" x14ac:dyDescent="0.3">
      <c r="F184" s="100">
        <v>45099</v>
      </c>
      <c r="G184" s="67">
        <f t="shared" ref="G184" si="184">M183</f>
        <v>14110.790476190477</v>
      </c>
      <c r="H184" s="67">
        <f t="shared" si="171"/>
        <v>0</v>
      </c>
      <c r="I184" s="67">
        <f t="shared" si="175"/>
        <v>0</v>
      </c>
      <c r="J184" s="75"/>
      <c r="K184" s="67"/>
      <c r="L184" s="69">
        <v>1301.25</v>
      </c>
      <c r="M184" s="67">
        <f t="shared" ref="M184" si="185">L184+G184</f>
        <v>15412.040476190477</v>
      </c>
      <c r="N184" s="70">
        <f t="shared" ref="N184" si="186">L184/G184</f>
        <v>9.2216662290864199E-2</v>
      </c>
      <c r="P184" s="54"/>
    </row>
    <row r="185" spans="2:16" ht="18.75" x14ac:dyDescent="0.3">
      <c r="F185" s="100">
        <v>45129</v>
      </c>
      <c r="G185" s="67">
        <f t="shared" ref="G185" si="187">M184</f>
        <v>15412.040476190477</v>
      </c>
      <c r="H185" s="67">
        <f t="shared" si="171"/>
        <v>0</v>
      </c>
      <c r="I185" s="67">
        <f t="shared" si="175"/>
        <v>0</v>
      </c>
      <c r="J185" s="75"/>
      <c r="K185" s="67"/>
      <c r="L185" s="69">
        <v>537.20000000000005</v>
      </c>
      <c r="M185" s="67">
        <f t="shared" ref="M185" si="188">L185+G185</f>
        <v>15949.240476190478</v>
      </c>
      <c r="N185" s="70">
        <f t="shared" ref="N185" si="189">L185/G185</f>
        <v>3.4855864856434909E-2</v>
      </c>
      <c r="P185" s="54"/>
    </row>
    <row r="186" spans="2:16" ht="18.75" x14ac:dyDescent="0.3">
      <c r="F186" s="100">
        <v>45160</v>
      </c>
      <c r="G186" s="67">
        <f t="shared" ref="G186" si="190">M185</f>
        <v>15949.240476190478</v>
      </c>
      <c r="H186" s="67">
        <f t="shared" si="171"/>
        <v>0</v>
      </c>
      <c r="I186" s="67">
        <f t="shared" si="175"/>
        <v>0</v>
      </c>
      <c r="J186" s="75"/>
      <c r="K186" s="67"/>
      <c r="L186" s="69">
        <v>-412.5</v>
      </c>
      <c r="M186" s="67">
        <f t="shared" ref="M186" si="191">L186+G186</f>
        <v>15536.740476190478</v>
      </c>
      <c r="N186" s="70">
        <f t="shared" ref="N186" si="192">L186/G186</f>
        <v>-2.5863300551257774E-2</v>
      </c>
      <c r="P186" s="54"/>
    </row>
    <row r="187" spans="2:16" ht="18.75" x14ac:dyDescent="0.3">
      <c r="F187" s="72"/>
      <c r="G187" s="67"/>
      <c r="H187" s="72"/>
      <c r="I187" s="72"/>
      <c r="J187" s="75"/>
      <c r="K187" s="67"/>
      <c r="L187" s="72" t="s">
        <v>11</v>
      </c>
      <c r="M187" s="67"/>
      <c r="N187" s="78"/>
      <c r="P187" s="54"/>
    </row>
    <row r="188" spans="2:16" ht="18.75" x14ac:dyDescent="0.3">
      <c r="F188" s="72"/>
      <c r="G188" s="67"/>
      <c r="H188" s="72"/>
      <c r="I188" s="72"/>
      <c r="J188" s="75"/>
      <c r="K188" s="67"/>
      <c r="L188" s="80">
        <f>SUM(L179:L187)</f>
        <v>3036.7404761904763</v>
      </c>
      <c r="M188" s="67"/>
      <c r="N188" s="78">
        <f>L188/G179</f>
        <v>0.2429392380952381</v>
      </c>
      <c r="O188" s="29">
        <v>8</v>
      </c>
      <c r="P188" s="54">
        <f>L188</f>
        <v>3036.7404761904763</v>
      </c>
    </row>
    <row r="189" spans="2:16" ht="21.75" customHeight="1" x14ac:dyDescent="0.3">
      <c r="F189" s="72"/>
      <c r="G189" s="67"/>
      <c r="H189" s="72"/>
      <c r="I189" s="72"/>
      <c r="J189" s="75"/>
      <c r="K189" s="67"/>
      <c r="L189" s="80"/>
      <c r="M189" s="67"/>
      <c r="N189" s="78"/>
      <c r="P189" s="54"/>
    </row>
    <row r="190" spans="2:16" ht="21.75" customHeight="1" x14ac:dyDescent="0.3">
      <c r="F190" s="72"/>
      <c r="G190" s="67"/>
      <c r="H190" s="72"/>
      <c r="I190" s="72"/>
      <c r="J190" s="75"/>
      <c r="K190" s="67"/>
      <c r="L190" s="80"/>
      <c r="M190" s="67"/>
      <c r="N190" s="78"/>
      <c r="P190" s="54"/>
    </row>
    <row r="191" spans="2:16" ht="21.75" customHeight="1" x14ac:dyDescent="0.3">
      <c r="F191" s="72"/>
      <c r="G191" s="67"/>
      <c r="H191" s="72"/>
      <c r="I191" s="72"/>
      <c r="J191" s="75"/>
      <c r="K191" s="67"/>
      <c r="L191" s="80"/>
      <c r="M191" s="67"/>
      <c r="N191" s="78"/>
      <c r="P191" s="60" t="s">
        <v>54</v>
      </c>
    </row>
    <row r="192" spans="2:16" ht="21.75" customHeight="1" x14ac:dyDescent="0.3">
      <c r="B192" s="17" t="s">
        <v>90</v>
      </c>
      <c r="G192" s="12"/>
      <c r="J192" s="20"/>
      <c r="K192" s="36"/>
      <c r="L192" s="42"/>
      <c r="M192" s="12"/>
      <c r="N192" s="25"/>
      <c r="O192" s="60" t="s">
        <v>12</v>
      </c>
      <c r="P192" s="57">
        <f>SUM(P1:P191)</f>
        <v>124561.97748056307</v>
      </c>
    </row>
    <row r="193" spans="2:16" ht="21.75" customHeight="1" x14ac:dyDescent="0.3">
      <c r="B193" s="17">
        <v>6057.63</v>
      </c>
      <c r="G193" s="12"/>
      <c r="J193" s="20"/>
      <c r="K193" s="36"/>
      <c r="L193" s="42"/>
      <c r="M193" s="12"/>
      <c r="N193" s="25"/>
      <c r="O193" s="60">
        <f>SUM(O1:O192)</f>
        <v>147</v>
      </c>
    </row>
    <row r="194" spans="2:16" ht="21.75" customHeight="1" x14ac:dyDescent="0.3">
      <c r="F194" s="84" t="s">
        <v>72</v>
      </c>
      <c r="G194" s="12"/>
      <c r="J194" s="20"/>
      <c r="K194" s="36"/>
      <c r="L194" s="42" t="s">
        <v>93</v>
      </c>
      <c r="M194" s="12"/>
      <c r="N194" s="25"/>
    </row>
    <row r="195" spans="2:16" ht="21.75" customHeight="1" x14ac:dyDescent="0.3">
      <c r="G195" s="12"/>
      <c r="J195" s="20"/>
      <c r="K195" s="36"/>
      <c r="L195" s="42">
        <f>(SUM(L172:L175))+L188</f>
        <v>4543.1600327832421</v>
      </c>
      <c r="M195" s="12"/>
      <c r="N195" s="25"/>
    </row>
    <row r="196" spans="2:16" ht="21.75" customHeight="1" x14ac:dyDescent="0.3">
      <c r="F196" s="90">
        <f>P192</f>
        <v>124561.97748056307</v>
      </c>
      <c r="G196" s="57" t="s">
        <v>54</v>
      </c>
      <c r="H196" s="12"/>
      <c r="I196"/>
      <c r="J196"/>
      <c r="K196" s="17"/>
      <c r="L196"/>
      <c r="M196"/>
      <c r="N196"/>
    </row>
    <row r="197" spans="2:16" ht="21.75" customHeight="1" x14ac:dyDescent="0.3">
      <c r="F197" s="61">
        <f>O193</f>
        <v>147</v>
      </c>
      <c r="G197" s="43" t="s">
        <v>62</v>
      </c>
      <c r="H197" s="12"/>
      <c r="I197"/>
      <c r="J197"/>
      <c r="K197" s="17"/>
      <c r="L197" s="99"/>
      <c r="M197"/>
      <c r="N197"/>
    </row>
    <row r="198" spans="2:16" ht="21.75" customHeight="1" x14ac:dyDescent="0.3">
      <c r="F198" s="62">
        <f>F196/F197</f>
        <v>847.36039102423854</v>
      </c>
      <c r="G198" s="43" t="s">
        <v>63</v>
      </c>
      <c r="H198" s="12"/>
      <c r="I198"/>
      <c r="J198">
        <v>9</v>
      </c>
      <c r="K198" s="17"/>
      <c r="L198" s="58"/>
      <c r="M198"/>
      <c r="N198"/>
    </row>
    <row r="199" spans="2:16" ht="21.75" customHeight="1" x14ac:dyDescent="0.25">
      <c r="B199" s="97"/>
      <c r="C199" s="97"/>
      <c r="D199" s="97"/>
      <c r="E199" s="85"/>
      <c r="F199" s="87">
        <f>N162</f>
        <v>0.22719600000000001</v>
      </c>
      <c r="G199" s="43" t="s">
        <v>88</v>
      </c>
      <c r="H199" s="17"/>
      <c r="I199"/>
      <c r="J199"/>
      <c r="K199" s="17"/>
      <c r="L199"/>
      <c r="M199"/>
      <c r="N199"/>
    </row>
    <row r="200" spans="2:16" ht="21.75" customHeight="1" x14ac:dyDescent="0.25">
      <c r="F200" s="62">
        <f>F198*12</f>
        <v>10168.324692290862</v>
      </c>
      <c r="G200" s="43" t="s">
        <v>64</v>
      </c>
      <c r="H200" s="17"/>
      <c r="I200"/>
      <c r="J200"/>
      <c r="K200"/>
      <c r="L200"/>
      <c r="M200"/>
      <c r="N200"/>
    </row>
    <row r="201" spans="2:16" ht="21.75" customHeight="1" x14ac:dyDescent="0.25">
      <c r="F201" s="62">
        <f>B4</f>
        <v>12500</v>
      </c>
      <c r="G201" s="43" t="s">
        <v>65</v>
      </c>
      <c r="H201" s="17"/>
      <c r="I201"/>
      <c r="J201"/>
      <c r="K201"/>
      <c r="L201"/>
      <c r="M201"/>
      <c r="N201"/>
    </row>
    <row r="202" spans="2:16" ht="21.75" customHeight="1" x14ac:dyDescent="0.25">
      <c r="F202" s="89">
        <f>F200/F201</f>
        <v>0.81346597538326892</v>
      </c>
      <c r="G202" s="43" t="s">
        <v>64</v>
      </c>
      <c r="H202" s="21"/>
      <c r="I202" s="7"/>
      <c r="J202" s="33"/>
      <c r="K202" s="37"/>
      <c r="L202" s="43"/>
      <c r="M202" s="17"/>
      <c r="N202"/>
      <c r="P202" s="28"/>
    </row>
    <row r="203" spans="2:16" ht="21.75" customHeight="1" x14ac:dyDescent="0.25">
      <c r="F203" s="98">
        <f>L197</f>
        <v>0</v>
      </c>
      <c r="I203" s="5"/>
      <c r="J203" s="23"/>
      <c r="K203" s="38"/>
      <c r="L203" s="44"/>
      <c r="M203" s="27"/>
      <c r="N203" s="27"/>
      <c r="O203" s="28"/>
      <c r="P203" s="28"/>
    </row>
    <row r="204" spans="2:16" ht="21.75" customHeight="1" x14ac:dyDescent="0.25">
      <c r="F204" s="91">
        <f>B193/G134</f>
        <v>0.4846104</v>
      </c>
      <c r="I204" s="5"/>
      <c r="J204" s="23"/>
      <c r="K204" s="38"/>
      <c r="L204" s="44"/>
      <c r="M204" s="27"/>
      <c r="N204" s="27"/>
      <c r="O204" s="28"/>
      <c r="P204" s="28"/>
    </row>
    <row r="205" spans="2:16" ht="21.75" customHeight="1" x14ac:dyDescent="0.25">
      <c r="F205" s="5"/>
      <c r="I205" s="5"/>
      <c r="J205" s="23"/>
      <c r="K205" s="38">
        <f>I205-I204</f>
        <v>0</v>
      </c>
      <c r="L205" s="44"/>
      <c r="M205" s="27"/>
      <c r="N205" s="27"/>
      <c r="O205" s="28"/>
      <c r="P205" s="28"/>
    </row>
    <row r="206" spans="2:16" ht="21.75" customHeight="1" x14ac:dyDescent="0.25">
      <c r="F206" s="5"/>
      <c r="I206" s="5"/>
      <c r="J206" s="23"/>
      <c r="K206" s="38"/>
      <c r="L206" s="44"/>
      <c r="M206" s="27"/>
      <c r="N206" s="27"/>
      <c r="O206" s="28"/>
      <c r="P206" s="28"/>
    </row>
    <row r="207" spans="2:16" ht="21.75" customHeight="1" x14ac:dyDescent="0.25">
      <c r="F207" s="5"/>
      <c r="I207" s="5"/>
      <c r="J207" s="23"/>
      <c r="K207" s="38"/>
      <c r="L207" s="44"/>
      <c r="M207" s="27"/>
      <c r="N207" s="27"/>
      <c r="O207" s="28"/>
      <c r="P207" s="28"/>
    </row>
    <row r="208" spans="2:16" ht="21.75" customHeight="1" x14ac:dyDescent="0.25">
      <c r="F208" s="5"/>
      <c r="I208" s="5"/>
      <c r="J208" s="23"/>
      <c r="K208" s="38"/>
      <c r="L208" s="44"/>
      <c r="M208" s="27"/>
      <c r="N208" s="27"/>
      <c r="O208" s="28"/>
      <c r="P208" s="28"/>
    </row>
    <row r="209" spans="6:16" ht="21.75" customHeight="1" x14ac:dyDescent="0.25">
      <c r="F209" s="5"/>
      <c r="I209" s="5"/>
      <c r="J209" s="23"/>
      <c r="K209" s="38"/>
      <c r="L209" s="44"/>
      <c r="M209" s="27"/>
      <c r="N209" s="27"/>
      <c r="O209" s="28"/>
      <c r="P209" s="28"/>
    </row>
    <row r="210" spans="6:16" ht="21.75" customHeight="1" x14ac:dyDescent="0.25">
      <c r="F210" s="5"/>
      <c r="I210" s="5"/>
      <c r="J210" s="23"/>
      <c r="K210" s="38"/>
      <c r="L210" s="44"/>
      <c r="M210" s="27"/>
      <c r="N210" s="27"/>
      <c r="O210" s="28"/>
    </row>
    <row r="211" spans="6:16" ht="21.75" customHeight="1" x14ac:dyDescent="0.25">
      <c r="F211" s="5"/>
      <c r="J211" s="20"/>
      <c r="K211" s="36"/>
      <c r="L211" s="42"/>
      <c r="M211" s="7"/>
      <c r="N211" s="26"/>
    </row>
    <row r="212" spans="6:16" ht="21.75" customHeight="1" x14ac:dyDescent="0.25">
      <c r="F212" s="5"/>
      <c r="J212" s="20"/>
      <c r="K212" s="36"/>
      <c r="L212" s="42"/>
      <c r="M212" s="7"/>
      <c r="N212" s="26"/>
    </row>
    <row r="213" spans="6:16" ht="21.75" customHeight="1" x14ac:dyDescent="0.25">
      <c r="F213" s="5"/>
      <c r="J213" s="20"/>
      <c r="K213" s="36"/>
      <c r="L213" s="42"/>
      <c r="M213" s="7"/>
      <c r="N213" s="26"/>
    </row>
    <row r="214" spans="6:16" ht="21.75" customHeight="1" x14ac:dyDescent="0.25">
      <c r="F214" s="5"/>
      <c r="J214" s="20"/>
      <c r="K214" s="36"/>
      <c r="L214" s="42"/>
      <c r="M214" s="7"/>
      <c r="N214" s="26"/>
    </row>
    <row r="215" spans="6:16" ht="21.75" customHeight="1" x14ac:dyDescent="0.25">
      <c r="F215" s="5"/>
      <c r="J215" s="20"/>
      <c r="K215" s="36"/>
      <c r="L215" s="42"/>
      <c r="M215" s="7"/>
      <c r="N215" s="26"/>
    </row>
    <row r="216" spans="6:16" ht="21.75" customHeight="1" x14ac:dyDescent="0.25">
      <c r="F216" s="5"/>
      <c r="J216" s="20"/>
      <c r="K216" s="36"/>
      <c r="L216" s="42"/>
      <c r="M216" s="7"/>
      <c r="N216" s="26"/>
    </row>
    <row r="217" spans="6:16" ht="21.75" customHeight="1" x14ac:dyDescent="0.25">
      <c r="F217" s="5"/>
      <c r="J217" s="20"/>
      <c r="K217" s="36"/>
      <c r="L217" s="42"/>
      <c r="M217" s="7"/>
      <c r="N217" s="26"/>
    </row>
    <row r="218" spans="6:16" ht="21.75" customHeight="1" x14ac:dyDescent="0.25">
      <c r="F218" s="11"/>
      <c r="J218" s="20"/>
      <c r="K218" s="36"/>
      <c r="L218" s="42"/>
      <c r="M218" s="7"/>
      <c r="N218" s="26"/>
    </row>
    <row r="219" spans="6:16" ht="21.75" customHeight="1" x14ac:dyDescent="0.25">
      <c r="F219" s="11"/>
      <c r="J219" s="20"/>
      <c r="K219" s="36"/>
      <c r="L219" s="42"/>
      <c r="M219" s="7"/>
      <c r="N219" s="26"/>
    </row>
    <row r="220" spans="6:16" ht="21.75" customHeight="1" x14ac:dyDescent="0.25">
      <c r="F220" s="11"/>
      <c r="J220" s="20"/>
      <c r="K220" s="36"/>
      <c r="L220" s="42"/>
      <c r="M220" s="7"/>
      <c r="N220" s="26"/>
    </row>
    <row r="221" spans="6:16" ht="21.75" customHeight="1" x14ac:dyDescent="0.25">
      <c r="F221" s="11"/>
      <c r="J221" s="20"/>
      <c r="K221" s="36"/>
      <c r="L221" s="42"/>
      <c r="M221" s="7"/>
      <c r="N221" s="26"/>
    </row>
    <row r="222" spans="6:16" ht="21.75" customHeight="1" x14ac:dyDescent="0.25">
      <c r="F222" s="11"/>
      <c r="J222" s="20"/>
      <c r="K222" s="36"/>
      <c r="L222" s="42"/>
      <c r="M222" s="7"/>
      <c r="N222" s="25"/>
    </row>
    <row r="223" spans="6:16" ht="21.75" customHeight="1" x14ac:dyDescent="0.25">
      <c r="F223" s="11"/>
      <c r="J223" s="20"/>
      <c r="K223" s="36"/>
      <c r="L223" s="42"/>
      <c r="M223" s="7"/>
      <c r="N223" s="25"/>
    </row>
    <row r="224" spans="6:16" ht="21.75" customHeight="1" x14ac:dyDescent="0.25">
      <c r="F224" s="11"/>
      <c r="J224" s="20"/>
      <c r="K224" s="36"/>
      <c r="L224" s="42"/>
      <c r="M224" s="7"/>
      <c r="N224" s="25"/>
    </row>
    <row r="225" spans="6:14" ht="21.75" customHeight="1" x14ac:dyDescent="0.25">
      <c r="F225" s="11"/>
      <c r="J225" s="20"/>
      <c r="K225" s="36"/>
      <c r="L225" s="42"/>
      <c r="M225" s="7"/>
      <c r="N225" s="26"/>
    </row>
    <row r="226" spans="6:14" ht="21.75" customHeight="1" x14ac:dyDescent="0.25">
      <c r="F226" s="11"/>
      <c r="J226" s="20"/>
      <c r="K226" s="36"/>
      <c r="L226" s="42"/>
      <c r="M226" s="7"/>
      <c r="N226" s="25"/>
    </row>
    <row r="227" spans="6:14" ht="21.75" customHeight="1" x14ac:dyDescent="0.25">
      <c r="F227" s="11"/>
      <c r="J227" s="20"/>
      <c r="K227" s="36"/>
      <c r="L227" s="42"/>
      <c r="M227" s="7"/>
      <c r="N227" s="25"/>
    </row>
    <row r="228" spans="6:14" ht="21.75" customHeight="1" x14ac:dyDescent="0.25">
      <c r="F228" s="11"/>
      <c r="J228" s="20"/>
      <c r="K228" s="36"/>
      <c r="L228" s="42"/>
      <c r="M228" s="7"/>
      <c r="N228" s="25"/>
    </row>
    <row r="229" spans="6:14" ht="21.75" customHeight="1" x14ac:dyDescent="0.25">
      <c r="F229" s="11"/>
      <c r="J229" s="20"/>
      <c r="K229" s="36"/>
      <c r="L229" s="42"/>
      <c r="M229" s="7"/>
      <c r="N229" s="26"/>
    </row>
    <row r="230" spans="6:14" ht="21.75" customHeight="1" x14ac:dyDescent="0.25">
      <c r="F230" s="11"/>
      <c r="J230" s="20"/>
      <c r="K230" s="36"/>
      <c r="L230" s="42"/>
      <c r="M230" s="7"/>
      <c r="N230" s="25"/>
    </row>
    <row r="231" spans="6:14" ht="21.75" customHeight="1" x14ac:dyDescent="0.25">
      <c r="F231" s="11"/>
      <c r="J231" s="20"/>
      <c r="K231" s="36"/>
      <c r="L231" s="42"/>
      <c r="M231" s="7"/>
      <c r="N231" s="25"/>
    </row>
    <row r="232" spans="6:14" ht="21.75" customHeight="1" x14ac:dyDescent="0.25">
      <c r="F232" s="11"/>
      <c r="J232" s="20"/>
      <c r="K232" s="36"/>
      <c r="L232" s="42"/>
      <c r="M232" s="7"/>
      <c r="N232" s="26"/>
    </row>
    <row r="233" spans="6:14" ht="21.75" customHeight="1" x14ac:dyDescent="0.25">
      <c r="F233" s="11"/>
      <c r="J233" s="20"/>
      <c r="K233" s="36"/>
      <c r="L233" s="42"/>
      <c r="M233" s="7"/>
      <c r="N233" s="26"/>
    </row>
    <row r="234" spans="6:14" ht="21.75" customHeight="1" x14ac:dyDescent="0.25">
      <c r="F234" s="11"/>
      <c r="J234" s="20"/>
      <c r="K234" s="36"/>
      <c r="L234" s="42"/>
      <c r="M234" s="7"/>
      <c r="N234" s="25"/>
    </row>
    <row r="235" spans="6:14" ht="21.75" customHeight="1" x14ac:dyDescent="0.25">
      <c r="F235" s="11"/>
      <c r="J235" s="20"/>
      <c r="K235" s="36"/>
      <c r="L235" s="42"/>
      <c r="M235" s="7"/>
      <c r="N235" s="26"/>
    </row>
    <row r="236" spans="6:14" ht="21.75" customHeight="1" x14ac:dyDescent="0.25">
      <c r="F236" s="11"/>
      <c r="J236" s="20"/>
      <c r="K236" s="36"/>
      <c r="L236" s="42"/>
      <c r="M236" s="7"/>
      <c r="N236" s="25"/>
    </row>
    <row r="237" spans="6:14" ht="21.75" customHeight="1" x14ac:dyDescent="0.25">
      <c r="F237" s="11"/>
      <c r="J237" s="20"/>
      <c r="K237" s="36"/>
      <c r="L237" s="42"/>
      <c r="M237" s="7"/>
      <c r="N237" s="25"/>
    </row>
    <row r="238" spans="6:14" ht="21.75" customHeight="1" x14ac:dyDescent="0.25">
      <c r="F238" s="11"/>
      <c r="J238" s="20"/>
      <c r="K238" s="36"/>
      <c r="L238" s="42"/>
      <c r="M238" s="7"/>
      <c r="N238" s="25"/>
    </row>
    <row r="239" spans="6:14" ht="21.75" customHeight="1" x14ac:dyDescent="0.25">
      <c r="F239" s="11"/>
      <c r="J239" s="20"/>
      <c r="K239" s="36"/>
      <c r="L239" s="42"/>
      <c r="M239" s="7"/>
      <c r="N239" s="25"/>
    </row>
    <row r="240" spans="6:14" ht="21.75" customHeight="1" x14ac:dyDescent="0.25">
      <c r="F240" s="11"/>
      <c r="J240" s="20"/>
      <c r="K240" s="36"/>
      <c r="L240" s="42"/>
      <c r="M240" s="7"/>
      <c r="N240" s="25"/>
    </row>
    <row r="241" spans="6:16" ht="21.75" hidden="1" customHeight="1" x14ac:dyDescent="0.25">
      <c r="F241" s="11"/>
      <c r="J241" s="20"/>
      <c r="K241" s="36"/>
      <c r="L241" s="42"/>
      <c r="M241" s="7"/>
      <c r="N241" s="25"/>
    </row>
    <row r="242" spans="6:16" ht="21.75" hidden="1" customHeight="1" x14ac:dyDescent="0.25">
      <c r="F242" s="11"/>
      <c r="J242" s="20"/>
      <c r="K242" s="36"/>
      <c r="L242" s="42"/>
      <c r="M242" s="8"/>
      <c r="N242" s="25"/>
    </row>
    <row r="243" spans="6:16" ht="21.75" hidden="1" customHeight="1" x14ac:dyDescent="0.25">
      <c r="F243" s="11"/>
      <c r="J243" s="20"/>
      <c r="K243" s="36"/>
      <c r="L243" s="42"/>
      <c r="M243" s="8"/>
      <c r="N243" s="7"/>
    </row>
    <row r="244" spans="6:16" ht="21.75" hidden="1" customHeight="1" x14ac:dyDescent="0.25">
      <c r="F244" s="11"/>
      <c r="J244" s="20"/>
      <c r="K244" s="36"/>
      <c r="L244" s="42"/>
      <c r="M244" s="8"/>
      <c r="N244" s="7"/>
    </row>
    <row r="245" spans="6:16" ht="21.75" hidden="1" customHeight="1" x14ac:dyDescent="0.25">
      <c r="F245" s="11"/>
      <c r="J245" s="20"/>
      <c r="K245" s="36"/>
      <c r="L245" s="42"/>
      <c r="M245" s="8"/>
      <c r="N245" s="7"/>
    </row>
    <row r="246" spans="6:16" ht="21.75" hidden="1" customHeight="1" x14ac:dyDescent="0.25">
      <c r="F246" s="11"/>
      <c r="J246" s="20"/>
      <c r="K246" s="36"/>
      <c r="L246" s="42"/>
      <c r="M246" s="8"/>
      <c r="N246" s="7"/>
    </row>
    <row r="247" spans="6:16" ht="21.75" hidden="1" customHeight="1" x14ac:dyDescent="0.25">
      <c r="F247" s="11"/>
      <c r="J247" s="20"/>
      <c r="K247" s="36"/>
      <c r="L247" s="42"/>
      <c r="M247" s="8"/>
      <c r="N247" s="7"/>
    </row>
    <row r="248" spans="6:16" ht="21.75" hidden="1" customHeight="1" x14ac:dyDescent="0.25">
      <c r="F248" s="11"/>
      <c r="J248" s="20"/>
      <c r="K248" s="36"/>
      <c r="L248" s="42"/>
      <c r="M248" s="8"/>
      <c r="N248" s="7"/>
    </row>
    <row r="249" spans="6:16" ht="21.75" hidden="1" customHeight="1" x14ac:dyDescent="0.25">
      <c r="F249" s="11"/>
      <c r="J249" s="20"/>
      <c r="K249" s="36"/>
      <c r="L249" s="42"/>
      <c r="M249" s="8"/>
      <c r="N249" s="7"/>
    </row>
    <row r="250" spans="6:16" ht="21.75" hidden="1" customHeight="1" x14ac:dyDescent="0.25">
      <c r="F250" s="11"/>
      <c r="J250" s="20"/>
      <c r="K250" s="36"/>
      <c r="L250" s="42"/>
      <c r="M250" s="8"/>
      <c r="N250" s="7"/>
    </row>
    <row r="251" spans="6:16" ht="21.75" hidden="1" customHeight="1" x14ac:dyDescent="0.25">
      <c r="F251" s="11"/>
      <c r="J251" s="20"/>
      <c r="K251" s="36"/>
      <c r="L251" s="42"/>
      <c r="M251" s="8"/>
      <c r="N251" s="7"/>
    </row>
    <row r="252" spans="6:16" ht="21.75" hidden="1" customHeight="1" x14ac:dyDescent="0.25">
      <c r="F252" s="11"/>
      <c r="J252" s="20"/>
      <c r="K252" s="36"/>
      <c r="L252" s="42"/>
      <c r="M252" s="8"/>
      <c r="N252" s="7"/>
    </row>
    <row r="253" spans="6:16" ht="21.75" hidden="1" customHeight="1" x14ac:dyDescent="0.25">
      <c r="F253" s="11"/>
      <c r="H253" s="4"/>
      <c r="I253" s="4"/>
      <c r="J253" s="20"/>
      <c r="K253" s="39"/>
      <c r="L253" s="45"/>
      <c r="M253" s="4"/>
      <c r="N253" s="7"/>
    </row>
    <row r="254" spans="6:16" ht="21.75" hidden="1" customHeight="1" x14ac:dyDescent="0.25">
      <c r="F254" s="4"/>
      <c r="G254" s="4"/>
      <c r="H254" s="5"/>
      <c r="I254" s="5"/>
      <c r="J254" s="22"/>
      <c r="K254" s="38"/>
      <c r="L254" s="46"/>
      <c r="M254" s="5"/>
    </row>
    <row r="255" spans="6:16" ht="21.75" hidden="1" customHeight="1" x14ac:dyDescent="0.25">
      <c r="F255" s="5"/>
      <c r="G255" s="5"/>
      <c r="H255" s="5"/>
      <c r="I255" s="5"/>
      <c r="J255" s="23"/>
      <c r="K255" s="38"/>
      <c r="L255" s="46"/>
      <c r="M255" s="5"/>
      <c r="N255" s="5"/>
      <c r="P255" s="2"/>
    </row>
    <row r="256" spans="6:16" ht="21.75" hidden="1" customHeight="1" x14ac:dyDescent="0.25">
      <c r="F256" s="9"/>
      <c r="G256" s="5"/>
      <c r="H256" s="5"/>
      <c r="I256" s="5"/>
      <c r="J256" s="23"/>
      <c r="K256" s="38"/>
      <c r="L256" s="46"/>
      <c r="M256" s="5"/>
      <c r="N256" s="5"/>
      <c r="O256" s="2"/>
    </row>
    <row r="257" spans="6:22" ht="21.75" hidden="1" customHeight="1" x14ac:dyDescent="0.25">
      <c r="F257" s="10"/>
      <c r="G257" s="6"/>
      <c r="H257" s="5"/>
      <c r="I257" s="5"/>
      <c r="J257" s="23"/>
      <c r="K257" s="38"/>
      <c r="L257" s="46"/>
      <c r="M257" s="5"/>
      <c r="N257" s="5"/>
    </row>
    <row r="258" spans="6:22" ht="21.75" hidden="1" customHeight="1" x14ac:dyDescent="0.25">
      <c r="F258" s="10"/>
      <c r="G258" s="5"/>
      <c r="H258" s="5"/>
      <c r="I258" s="5"/>
      <c r="J258" s="23"/>
      <c r="K258" s="38"/>
      <c r="L258" s="46"/>
      <c r="M258" s="5"/>
      <c r="N258" s="5"/>
    </row>
    <row r="259" spans="6:22" ht="21.75" hidden="1" customHeight="1" x14ac:dyDescent="0.25">
      <c r="F259" s="10"/>
      <c r="G259" s="5"/>
      <c r="H259" s="5"/>
      <c r="I259" s="5"/>
      <c r="J259" s="23"/>
      <c r="K259" s="38"/>
      <c r="L259" s="46"/>
      <c r="M259" s="5"/>
      <c r="N259" s="5"/>
    </row>
    <row r="260" spans="6:22" ht="21.75" hidden="1" customHeight="1" x14ac:dyDescent="0.25">
      <c r="F260" s="10"/>
      <c r="G260" s="5"/>
      <c r="H260" s="5"/>
      <c r="I260" s="5"/>
      <c r="J260" s="23"/>
      <c r="K260" s="38"/>
      <c r="L260" s="46"/>
      <c r="M260" s="5"/>
      <c r="N260" s="5"/>
    </row>
    <row r="261" spans="6:22" ht="21.75" hidden="1" customHeight="1" x14ac:dyDescent="0.25">
      <c r="F261" s="10"/>
      <c r="G261" s="5"/>
      <c r="H261" s="5"/>
      <c r="I261" s="5"/>
      <c r="J261" s="23"/>
      <c r="K261" s="38"/>
      <c r="L261" s="46"/>
      <c r="M261" s="5"/>
      <c r="N261" s="5"/>
    </row>
    <row r="262" spans="6:22" ht="21.75" hidden="1" customHeight="1" x14ac:dyDescent="0.25">
      <c r="F262" s="10"/>
      <c r="G262" s="5"/>
      <c r="H262" s="5"/>
      <c r="I262" s="5"/>
      <c r="J262" s="23"/>
      <c r="K262" s="38"/>
      <c r="L262" s="46"/>
      <c r="M262" s="5"/>
      <c r="N262" s="5"/>
    </row>
    <row r="263" spans="6:22" ht="21.75" hidden="1" customHeight="1" x14ac:dyDescent="0.25">
      <c r="F263" s="10"/>
      <c r="G263" s="5"/>
      <c r="H263" s="5"/>
      <c r="I263" s="5"/>
      <c r="J263" s="23"/>
      <c r="K263" s="38"/>
      <c r="L263" s="46"/>
      <c r="M263" s="5"/>
      <c r="N263" s="5"/>
    </row>
    <row r="264" spans="6:22" ht="21.75" hidden="1" customHeight="1" x14ac:dyDescent="0.25">
      <c r="F264" s="10"/>
      <c r="G264" s="5"/>
      <c r="H264" s="5"/>
      <c r="I264" s="5"/>
      <c r="J264" s="23"/>
      <c r="K264" s="38"/>
      <c r="L264" s="46"/>
      <c r="M264" s="5"/>
      <c r="N264" s="5"/>
      <c r="V264" s="48"/>
    </row>
    <row r="265" spans="6:22" ht="21.75" hidden="1" customHeight="1" x14ac:dyDescent="0.25">
      <c r="F265" s="10"/>
      <c r="G265" s="5"/>
      <c r="H265" s="5"/>
      <c r="I265" s="5"/>
      <c r="J265" s="23"/>
      <c r="K265" s="38"/>
      <c r="L265" s="46"/>
      <c r="M265" s="5"/>
      <c r="N265" s="5"/>
    </row>
    <row r="266" spans="6:22" ht="21.75" hidden="1" customHeight="1" x14ac:dyDescent="0.25">
      <c r="F266" s="10"/>
      <c r="G266" s="5"/>
      <c r="H266" s="5"/>
      <c r="I266" s="5"/>
      <c r="J266" s="23"/>
      <c r="K266" s="38"/>
      <c r="L266" s="46"/>
      <c r="M266" s="5"/>
      <c r="N266" s="5"/>
    </row>
    <row r="267" spans="6:22" ht="21.75" hidden="1" customHeight="1" x14ac:dyDescent="0.25">
      <c r="F267" s="10"/>
      <c r="G267" s="5"/>
      <c r="H267" s="5"/>
      <c r="I267" s="5"/>
      <c r="J267" s="23"/>
      <c r="K267" s="38"/>
      <c r="L267" s="46"/>
      <c r="M267" s="5"/>
      <c r="N267" s="5"/>
    </row>
    <row r="268" spans="6:22" ht="21.75" hidden="1" customHeight="1" x14ac:dyDescent="0.25">
      <c r="F268" s="10"/>
      <c r="G268" s="5"/>
      <c r="H268" s="5"/>
      <c r="I268" s="5"/>
      <c r="J268" s="23"/>
      <c r="K268" s="38"/>
      <c r="L268" s="46"/>
      <c r="M268" s="5"/>
      <c r="N268" s="5"/>
    </row>
    <row r="269" spans="6:22" ht="21.75" hidden="1" customHeight="1" x14ac:dyDescent="0.25">
      <c r="F269" s="13"/>
      <c r="G269" s="5"/>
      <c r="H269" s="5"/>
      <c r="I269" s="5"/>
      <c r="J269" s="23"/>
      <c r="K269" s="38"/>
      <c r="L269" s="46"/>
      <c r="M269" s="5"/>
      <c r="N269" s="5"/>
    </row>
    <row r="270" spans="6:22" ht="21.75" hidden="1" customHeight="1" x14ac:dyDescent="0.25">
      <c r="F270" s="13"/>
      <c r="G270" s="5"/>
      <c r="H270" s="5"/>
      <c r="I270" s="5"/>
      <c r="J270" s="23"/>
      <c r="K270" s="38"/>
      <c r="L270" s="46"/>
      <c r="M270" s="5"/>
      <c r="N270" s="5"/>
    </row>
    <row r="271" spans="6:22" ht="21.75" hidden="1" customHeight="1" x14ac:dyDescent="0.25">
      <c r="F271" s="13"/>
      <c r="G271" s="5"/>
      <c r="H271" s="5"/>
      <c r="I271" s="5"/>
      <c r="J271" s="23"/>
      <c r="K271" s="38"/>
      <c r="L271" s="46"/>
      <c r="M271" s="5"/>
      <c r="N271" s="5"/>
    </row>
    <row r="272" spans="6:22" ht="21.75" hidden="1" customHeight="1" x14ac:dyDescent="0.25">
      <c r="F272" s="13"/>
      <c r="G272" s="5"/>
      <c r="H272" s="5"/>
      <c r="I272" s="5"/>
      <c r="J272" s="23"/>
      <c r="K272" s="38"/>
      <c r="L272" s="46"/>
      <c r="M272" s="5"/>
      <c r="N272" s="5"/>
    </row>
    <row r="273" spans="6:22" ht="21.75" hidden="1" customHeight="1" x14ac:dyDescent="0.25">
      <c r="F273" s="13"/>
      <c r="G273" s="5"/>
      <c r="H273" s="5"/>
      <c r="I273" s="5"/>
      <c r="J273" s="23"/>
      <c r="K273" s="38"/>
      <c r="L273" s="46"/>
      <c r="M273" s="5"/>
      <c r="N273" s="5"/>
    </row>
    <row r="274" spans="6:22" ht="21.75" hidden="1" customHeight="1" x14ac:dyDescent="0.25">
      <c r="F274" s="13"/>
      <c r="G274" s="5"/>
      <c r="H274" s="5"/>
      <c r="I274" s="5"/>
      <c r="J274" s="23"/>
      <c r="K274" s="38"/>
      <c r="L274" s="46"/>
      <c r="M274" s="5"/>
      <c r="N274" s="5"/>
      <c r="V274" s="48"/>
    </row>
    <row r="275" spans="6:22" ht="21.75" hidden="1" customHeight="1" x14ac:dyDescent="0.25">
      <c r="F275" s="13"/>
      <c r="G275" s="5"/>
      <c r="H275" s="5"/>
      <c r="I275" s="5"/>
      <c r="J275" s="23"/>
      <c r="K275" s="38"/>
      <c r="L275" s="46"/>
      <c r="M275" s="5"/>
      <c r="N275" s="5"/>
    </row>
    <row r="276" spans="6:22" ht="21.75" hidden="1" customHeight="1" x14ac:dyDescent="0.25">
      <c r="F276" s="13"/>
      <c r="G276" s="5"/>
      <c r="H276" s="5"/>
      <c r="I276" s="5"/>
      <c r="J276" s="23"/>
      <c r="K276" s="38"/>
      <c r="L276" s="46"/>
      <c r="M276" s="5"/>
      <c r="N276" s="5"/>
    </row>
    <row r="277" spans="6:22" ht="21.75" hidden="1" customHeight="1" x14ac:dyDescent="0.25">
      <c r="F277" s="13"/>
      <c r="G277" s="5"/>
      <c r="H277" s="5"/>
      <c r="I277" s="5"/>
      <c r="J277" s="23"/>
      <c r="K277" s="38"/>
      <c r="L277" s="46"/>
      <c r="M277" s="5"/>
      <c r="N277" s="5"/>
    </row>
    <row r="278" spans="6:22" ht="21.75" hidden="1" customHeight="1" x14ac:dyDescent="0.25">
      <c r="F278" s="13"/>
      <c r="G278" s="5"/>
      <c r="H278" s="5"/>
      <c r="I278" s="5"/>
      <c r="J278" s="23"/>
      <c r="K278" s="38"/>
      <c r="L278" s="46"/>
      <c r="M278" s="5"/>
      <c r="N278" s="5"/>
    </row>
    <row r="279" spans="6:22" ht="21.75" hidden="1" customHeight="1" x14ac:dyDescent="0.25">
      <c r="F279" s="13"/>
      <c r="G279" s="5"/>
      <c r="H279" s="5"/>
      <c r="I279" s="5"/>
      <c r="J279" s="23"/>
      <c r="K279" s="38"/>
      <c r="L279" s="46"/>
      <c r="M279" s="5"/>
      <c r="N279" s="5"/>
    </row>
    <row r="280" spans="6:22" ht="21.75" hidden="1" customHeight="1" x14ac:dyDescent="0.25">
      <c r="F280" s="13"/>
      <c r="G280" s="5"/>
      <c r="H280" s="5"/>
      <c r="J280" s="23"/>
      <c r="N280" s="5"/>
    </row>
    <row r="281" spans="6:22" ht="21.75" hidden="1" customHeight="1" x14ac:dyDescent="0.25">
      <c r="F281" s="14"/>
    </row>
    <row r="282" spans="6:22" ht="21.75" hidden="1" customHeight="1" x14ac:dyDescent="0.25">
      <c r="F282" s="14"/>
      <c r="H282" s="5"/>
    </row>
    <row r="283" spans="6:22" ht="21.75" hidden="1" customHeight="1" x14ac:dyDescent="0.25">
      <c r="F283" s="14"/>
      <c r="G283" s="5"/>
    </row>
    <row r="284" spans="6:22" x14ac:dyDescent="0.25">
      <c r="F284" s="14"/>
      <c r="G284" s="5"/>
    </row>
    <row r="285" spans="6:22" x14ac:dyDescent="0.25">
      <c r="F285" s="14"/>
      <c r="G285" s="5"/>
    </row>
    <row r="286" spans="6:22" x14ac:dyDescent="0.25">
      <c r="F286" s="14"/>
      <c r="G286" s="5"/>
    </row>
    <row r="287" spans="6:22" x14ac:dyDescent="0.25">
      <c r="F287" s="14"/>
      <c r="G287" s="5"/>
    </row>
    <row r="288" spans="6:22" x14ac:dyDescent="0.25">
      <c r="F288" s="14"/>
      <c r="G288" s="5"/>
    </row>
    <row r="289" spans="6:13" x14ac:dyDescent="0.25">
      <c r="F289" s="14"/>
      <c r="G289" s="5"/>
    </row>
    <row r="290" spans="6:13" x14ac:dyDescent="0.25">
      <c r="F290" s="14"/>
      <c r="G290" s="5"/>
      <c r="I290" s="16"/>
      <c r="K290" s="40"/>
      <c r="L290" s="47"/>
      <c r="M290" s="16"/>
    </row>
    <row r="291" spans="6:13" x14ac:dyDescent="0.25">
      <c r="F291" s="14"/>
      <c r="G291" s="5"/>
      <c r="J291" s="24"/>
    </row>
    <row r="292" spans="6:13" x14ac:dyDescent="0.25">
      <c r="F292" s="15"/>
      <c r="G292" s="5"/>
    </row>
    <row r="293" spans="6:13" x14ac:dyDescent="0.25">
      <c r="F293" s="14"/>
      <c r="G293" s="5"/>
    </row>
    <row r="294" spans="6:13" x14ac:dyDescent="0.25">
      <c r="F294" s="14"/>
      <c r="G294" s="5"/>
    </row>
    <row r="295" spans="6:13" x14ac:dyDescent="0.25">
      <c r="F295" s="14"/>
      <c r="G295" s="5"/>
    </row>
    <row r="296" spans="6:13" x14ac:dyDescent="0.25">
      <c r="F296" s="14"/>
      <c r="G296" s="5"/>
    </row>
    <row r="298" spans="6:13" x14ac:dyDescent="0.25">
      <c r="F298" s="14"/>
    </row>
  </sheetData>
  <mergeCells count="4">
    <mergeCell ref="U3:U4"/>
    <mergeCell ref="V3:V4"/>
    <mergeCell ref="R3:R4"/>
    <mergeCell ref="T3:T4"/>
  </mergeCells>
  <hyperlinks>
    <hyperlink ref="F194" r:id="rId1" xr:uid="{A70D4D67-093A-4548-91DD-D5CA28C8C270}"/>
  </hyperlinks>
  <pageMargins left="0.7" right="0.7" top="0.75" bottom="0.75" header="0.3" footer="0.3"/>
  <pageSetup orientation="portrait" horizontalDpi="4294967293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Knight</dc:creator>
  <cp:lastModifiedBy>Peter Knight</cp:lastModifiedBy>
  <dcterms:created xsi:type="dcterms:W3CDTF">2017-04-13T21:27:26Z</dcterms:created>
  <dcterms:modified xsi:type="dcterms:W3CDTF">2023-09-07T16:24:48Z</dcterms:modified>
</cp:coreProperties>
</file>