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! HYBRID UPDATES 230609\! 00 MM-TT\"/>
    </mc:Choice>
  </mc:AlternateContent>
  <xr:revisionPtr revIDLastSave="0" documentId="13_ncr:1_{79184362-F010-4AEE-8458-03F36D758996}" xr6:coauthVersionLast="47" xr6:coauthVersionMax="47" xr10:uidLastSave="{00000000-0000-0000-0000-000000000000}"/>
  <bookViews>
    <workbookView xWindow="435" yWindow="90" windowWidth="17565" windowHeight="14820" xr2:uid="{00000000-000D-0000-FFFF-FFFF00000000}"/>
  </bookViews>
  <sheets>
    <sheet name="STATEMEN" sheetId="1" r:id="rId1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128" i="1" l="1"/>
  <c r="P128" i="1"/>
  <c r="P127" i="1"/>
  <c r="P126" i="1"/>
  <c r="R126" i="1" s="1"/>
  <c r="P125" i="1"/>
  <c r="R125" i="1" s="1"/>
  <c r="P124" i="1"/>
  <c r="P123" i="1"/>
  <c r="R123" i="1" s="1"/>
  <c r="P122" i="1"/>
  <c r="R122" i="1" s="1"/>
  <c r="P121" i="1"/>
  <c r="R121" i="1" s="1"/>
  <c r="P120" i="1"/>
  <c r="P119" i="1"/>
  <c r="T126" i="1"/>
  <c r="S119" i="1"/>
  <c r="U128" i="1"/>
  <c r="U127" i="1"/>
  <c r="U126" i="1"/>
  <c r="U125" i="1"/>
  <c r="U124" i="1"/>
  <c r="U123" i="1"/>
  <c r="U122" i="1"/>
  <c r="U121" i="1"/>
  <c r="U120" i="1"/>
  <c r="U119" i="1"/>
  <c r="R120" i="1"/>
  <c r="R124" i="1"/>
  <c r="S125" i="1"/>
  <c r="R127" i="1"/>
  <c r="R119" i="1"/>
  <c r="G146" i="1"/>
  <c r="F146" i="1"/>
  <c r="E146" i="1"/>
  <c r="R128" i="1"/>
  <c r="F154" i="1"/>
  <c r="F158" i="1" s="1"/>
  <c r="G153" i="1"/>
  <c r="G154" i="1" s="1"/>
  <c r="G155" i="1" s="1"/>
  <c r="G156" i="1" s="1"/>
  <c r="G157" i="1" s="1"/>
  <c r="G158" i="1" s="1"/>
  <c r="F153" i="1"/>
  <c r="F157" i="1" s="1"/>
  <c r="I152" i="1"/>
  <c r="F152" i="1"/>
  <c r="F156" i="1" s="1"/>
  <c r="I175" i="1"/>
  <c r="I194" i="1"/>
  <c r="I192" i="1"/>
  <c r="I193" i="1" s="1"/>
  <c r="U118" i="1"/>
  <c r="T118" i="1" s="1"/>
  <c r="P118" i="1"/>
  <c r="R118" i="1" s="1"/>
  <c r="U117" i="1"/>
  <c r="S117" i="1" s="1"/>
  <c r="P117" i="1"/>
  <c r="R117" i="1" s="1"/>
  <c r="U116" i="1"/>
  <c r="S116" i="1" s="1"/>
  <c r="P116" i="1"/>
  <c r="R116" i="1" s="1"/>
  <c r="U115" i="1"/>
  <c r="S115" i="1" s="1"/>
  <c r="P115" i="1"/>
  <c r="R115" i="1" s="1"/>
  <c r="U114" i="1"/>
  <c r="S114" i="1" s="1"/>
  <c r="P114" i="1"/>
  <c r="R114" i="1" s="1"/>
  <c r="U113" i="1"/>
  <c r="S113" i="1" s="1"/>
  <c r="P113" i="1"/>
  <c r="R113" i="1" s="1"/>
  <c r="P112" i="1"/>
  <c r="R112" i="1" s="1"/>
  <c r="U111" i="1"/>
  <c r="S111" i="1" s="1"/>
  <c r="P111" i="1"/>
  <c r="R111" i="1" s="1"/>
  <c r="U110" i="1"/>
  <c r="S110" i="1" s="1"/>
  <c r="P110" i="1"/>
  <c r="R110" i="1" s="1"/>
  <c r="S120" i="1" l="1"/>
  <c r="S121" i="1"/>
  <c r="S122" i="1"/>
  <c r="S123" i="1"/>
  <c r="S124" i="1"/>
  <c r="S127" i="1"/>
  <c r="Q119" i="1"/>
  <c r="Q120" i="1" s="1"/>
  <c r="Q121" i="1" s="1"/>
  <c r="Q122" i="1" s="1"/>
  <c r="Q123" i="1" s="1"/>
  <c r="Q124" i="1" s="1"/>
  <c r="Q125" i="1" s="1"/>
  <c r="Q126" i="1" s="1"/>
  <c r="Q127" i="1" s="1"/>
  <c r="I160" i="1"/>
  <c r="I168" i="1" s="1"/>
  <c r="I195" i="1"/>
  <c r="E16" i="1"/>
  <c r="E31" i="1" s="1"/>
  <c r="E46" i="1" s="1"/>
  <c r="E61" i="1" s="1"/>
  <c r="E76" i="1" s="1"/>
  <c r="E91" i="1" s="1"/>
  <c r="M160" i="1" l="1"/>
  <c r="I139" i="1"/>
  <c r="F139" i="1"/>
  <c r="F143" i="1" s="1"/>
  <c r="F138" i="1"/>
  <c r="F142" i="1" s="1"/>
  <c r="F137" i="1"/>
  <c r="F141" i="1" s="1"/>
  <c r="F145" i="1" s="1"/>
  <c r="F151" i="1" s="1"/>
  <c r="F155" i="1" s="1"/>
  <c r="U112" i="1" l="1"/>
  <c r="S112" i="1" s="1"/>
  <c r="U109" i="1"/>
  <c r="T109" i="1" s="1"/>
  <c r="P109" i="1"/>
  <c r="R109" i="1" s="1"/>
  <c r="I149" i="1"/>
  <c r="G151" i="1" s="1"/>
  <c r="J148" i="1"/>
  <c r="U108" i="1"/>
  <c r="S108" i="1" s="1"/>
  <c r="R108" i="1"/>
  <c r="U107" i="1"/>
  <c r="S107" i="1" s="1"/>
  <c r="P107" i="1"/>
  <c r="R107" i="1" s="1"/>
  <c r="U106" i="1"/>
  <c r="S106" i="1" s="1"/>
  <c r="P106" i="1"/>
  <c r="R106" i="1" s="1"/>
  <c r="M149" i="1" l="1"/>
  <c r="U105" i="1"/>
  <c r="S105" i="1" s="1"/>
  <c r="P105" i="1"/>
  <c r="R105" i="1" s="1"/>
  <c r="U104" i="1"/>
  <c r="T104" i="1" s="1"/>
  <c r="P104" i="1"/>
  <c r="R104" i="1" s="1"/>
  <c r="U103" i="1" l="1"/>
  <c r="S103" i="1" s="1"/>
  <c r="P103" i="1"/>
  <c r="R103" i="1" s="1"/>
  <c r="U102" i="1"/>
  <c r="S102" i="1" s="1"/>
  <c r="P102" i="1"/>
  <c r="R102" i="1" s="1"/>
  <c r="U101" i="1"/>
  <c r="S101" i="1" s="1"/>
  <c r="P101" i="1"/>
  <c r="R101" i="1" s="1"/>
  <c r="G125" i="1"/>
  <c r="J133" i="1"/>
  <c r="U100" i="1"/>
  <c r="T100" i="1" s="1"/>
  <c r="P100" i="1"/>
  <c r="R100" i="1" s="1"/>
  <c r="U99" i="1"/>
  <c r="S99" i="1" s="1"/>
  <c r="P99" i="1"/>
  <c r="R99" i="1" s="1"/>
  <c r="U98" i="1"/>
  <c r="S98" i="1" s="1"/>
  <c r="P98" i="1"/>
  <c r="R98" i="1" s="1"/>
  <c r="P97" i="1"/>
  <c r="F124" i="1"/>
  <c r="F128" i="1" s="1"/>
  <c r="F132" i="1" s="1"/>
  <c r="F136" i="1" s="1"/>
  <c r="F140" i="1" s="1"/>
  <c r="F144" i="1" s="1"/>
  <c r="F147" i="1" s="1"/>
  <c r="F123" i="1"/>
  <c r="F127" i="1" s="1"/>
  <c r="F131" i="1" s="1"/>
  <c r="U97" i="1"/>
  <c r="T97" i="1" s="1"/>
  <c r="F122" i="1"/>
  <c r="F126" i="1" s="1"/>
  <c r="F130" i="1" s="1"/>
  <c r="G126" i="1" l="1"/>
  <c r="G129" i="1"/>
  <c r="N173" i="1"/>
  <c r="E174" i="1" s="1"/>
  <c r="U95" i="1"/>
  <c r="S95" i="1" s="1"/>
  <c r="U96" i="1"/>
  <c r="S96" i="1" s="1"/>
  <c r="R96" i="1"/>
  <c r="P96" i="1"/>
  <c r="I134" i="1"/>
  <c r="F121" i="1"/>
  <c r="F125" i="1" s="1"/>
  <c r="F129" i="1" s="1"/>
  <c r="P95" i="1"/>
  <c r="R95" i="1"/>
  <c r="G127" i="1" l="1"/>
  <c r="G130" i="1"/>
  <c r="M134" i="1"/>
  <c r="P94" i="1"/>
  <c r="P93" i="1"/>
  <c r="P92" i="1"/>
  <c r="P91" i="1"/>
  <c r="P90" i="1"/>
  <c r="P89" i="1"/>
  <c r="P88" i="1"/>
  <c r="P87" i="1"/>
  <c r="P86" i="1"/>
  <c r="P85" i="1"/>
  <c r="G128" i="1" l="1"/>
  <c r="G132" i="1" s="1"/>
  <c r="G137" i="1" s="1"/>
  <c r="G138" i="1" s="1"/>
  <c r="G139" i="1" s="1"/>
  <c r="G140" i="1" s="1"/>
  <c r="G141" i="1" s="1"/>
  <c r="G142" i="1" s="1"/>
  <c r="G143" i="1" s="1"/>
  <c r="G144" i="1" s="1"/>
  <c r="G145" i="1" s="1"/>
  <c r="G147" i="1" s="1"/>
  <c r="G152" i="1" s="1"/>
  <c r="G131" i="1"/>
  <c r="U94" i="1"/>
  <c r="T94" i="1" s="1"/>
  <c r="R94" i="1"/>
  <c r="R93" i="1" l="1"/>
  <c r="U93" i="1"/>
  <c r="T93" i="1" s="1"/>
  <c r="R92" i="1" l="1"/>
  <c r="U92" i="1"/>
  <c r="S92" i="1" s="1"/>
  <c r="R91" i="1" l="1"/>
  <c r="R90" i="1"/>
  <c r="R89" i="1"/>
  <c r="R88" i="1"/>
  <c r="R87" i="1"/>
  <c r="R86" i="1"/>
  <c r="U91" i="1"/>
  <c r="S91" i="1" s="1"/>
  <c r="U90" i="1" l="1"/>
  <c r="S90" i="1" s="1"/>
  <c r="U89" i="1" l="1"/>
  <c r="S89" i="1" l="1"/>
  <c r="I56" i="1"/>
  <c r="I68" i="1"/>
  <c r="I109" i="1" l="1"/>
  <c r="U88" i="1" s="1"/>
  <c r="S88" i="1" s="1"/>
  <c r="I95" i="1" l="1"/>
  <c r="I52" i="1"/>
  <c r="O52" i="1" s="1"/>
  <c r="I11" i="1"/>
  <c r="I86" i="1"/>
  <c r="I85" i="1"/>
  <c r="I71" i="1"/>
  <c r="I61" i="1"/>
  <c r="I50" i="1"/>
  <c r="I48" i="1"/>
  <c r="I38" i="1"/>
  <c r="I35" i="1"/>
  <c r="I34" i="1"/>
  <c r="I32" i="1"/>
  <c r="I27" i="1"/>
  <c r="I21" i="1"/>
  <c r="I101" i="1"/>
  <c r="I99" i="1"/>
  <c r="I79" i="1"/>
  <c r="O79" i="1" s="1"/>
  <c r="I78" i="1"/>
  <c r="O78" i="1" s="1"/>
  <c r="I67" i="1"/>
  <c r="O67" i="1" s="1"/>
  <c r="I66" i="1"/>
  <c r="O66" i="1" s="1"/>
  <c r="I64" i="1"/>
  <c r="O64" i="1" s="1"/>
  <c r="I63" i="1"/>
  <c r="O63" i="1" s="1"/>
  <c r="I42" i="1"/>
  <c r="I36" i="1"/>
  <c r="I23" i="1"/>
  <c r="I10" i="1"/>
  <c r="O10" i="1" s="1"/>
  <c r="I7" i="1"/>
  <c r="O7" i="1" s="1"/>
  <c r="I8" i="1"/>
  <c r="O8" i="1" s="1"/>
  <c r="I108" i="1"/>
  <c r="I107" i="1"/>
  <c r="I106" i="1"/>
  <c r="I102" i="1"/>
  <c r="I100" i="1"/>
  <c r="U85" i="1" l="1"/>
  <c r="I119" i="1"/>
  <c r="U87" i="1"/>
  <c r="S87" i="1" s="1"/>
  <c r="U86" i="1" l="1"/>
  <c r="S86" i="1" s="1"/>
  <c r="U84" i="1" l="1"/>
  <c r="S84" i="1" s="1"/>
  <c r="J118" i="1"/>
  <c r="J106" i="1"/>
  <c r="M119" i="1" l="1"/>
  <c r="U83" i="1"/>
  <c r="S83" i="1" s="1"/>
  <c r="I33" i="1" l="1"/>
  <c r="U81" i="1" l="1"/>
  <c r="T81" i="1" s="1"/>
  <c r="U82" i="1"/>
  <c r="S82" i="1" s="1"/>
  <c r="I93" i="1" l="1"/>
  <c r="I94" i="1"/>
  <c r="I98" i="1"/>
  <c r="U80" i="1" s="1"/>
  <c r="S80" i="1" s="1"/>
  <c r="I97" i="1"/>
  <c r="I96" i="1"/>
  <c r="I92" i="1"/>
  <c r="I91" i="1"/>
  <c r="I87" i="1"/>
  <c r="U72" i="1" s="1"/>
  <c r="S72" i="1" s="1"/>
  <c r="I104" i="1" l="1"/>
  <c r="U73" i="1"/>
  <c r="S73" i="1" s="1"/>
  <c r="R219" i="1"/>
  <c r="R220" i="1" s="1"/>
  <c r="R218" i="1"/>
  <c r="R217" i="1"/>
  <c r="R216" i="1"/>
  <c r="R210" i="1"/>
  <c r="R211" i="1" s="1"/>
  <c r="R222" i="1" l="1"/>
  <c r="U79" i="1"/>
  <c r="S79" i="1" s="1"/>
  <c r="U78" i="1"/>
  <c r="S78" i="1" s="1"/>
  <c r="U77" i="1"/>
  <c r="T77" i="1" s="1"/>
  <c r="U74" i="1"/>
  <c r="S74" i="1" s="1"/>
  <c r="F92" i="1" l="1"/>
  <c r="F93" i="1" s="1"/>
  <c r="F94" i="1" l="1"/>
  <c r="F95" i="1" s="1"/>
  <c r="F96" i="1" s="1"/>
  <c r="F97" i="1" s="1"/>
  <c r="F98" i="1" s="1"/>
  <c r="F99" i="1" s="1"/>
  <c r="F100" i="1" s="1"/>
  <c r="F101" i="1" s="1"/>
  <c r="F102" i="1" s="1"/>
  <c r="G93" i="1"/>
  <c r="G94" i="1" s="1"/>
  <c r="G95" i="1" s="1"/>
  <c r="G96" i="1" s="1"/>
  <c r="G97" i="1" s="1"/>
  <c r="G98" i="1" s="1"/>
  <c r="G99" i="1" s="1"/>
  <c r="G100" i="1" s="1"/>
  <c r="G101" i="1" s="1"/>
  <c r="G102" i="1" s="1"/>
  <c r="G92" i="1"/>
  <c r="J103" i="1"/>
  <c r="J91" i="1"/>
  <c r="J87" i="1" l="1"/>
  <c r="J88" i="1" l="1"/>
  <c r="I84" i="1"/>
  <c r="I82" i="1"/>
  <c r="I80" i="1"/>
  <c r="O80" i="1" s="1"/>
  <c r="I77" i="1"/>
  <c r="O77" i="1" s="1"/>
  <c r="I76" i="1"/>
  <c r="I72" i="1"/>
  <c r="I70" i="1"/>
  <c r="I69" i="1"/>
  <c r="I62" i="1"/>
  <c r="I54" i="1"/>
  <c r="O54" i="1" s="1"/>
  <c r="I53" i="1"/>
  <c r="O53" i="1" s="1"/>
  <c r="I51" i="1"/>
  <c r="I49" i="1"/>
  <c r="I47" i="1"/>
  <c r="I40" i="1"/>
  <c r="O40" i="1" s="1"/>
  <c r="I26" i="1"/>
  <c r="I25" i="1"/>
  <c r="U20" i="1"/>
  <c r="T20" i="1" s="1"/>
  <c r="I22" i="1"/>
  <c r="I18" i="1"/>
  <c r="I17" i="1"/>
  <c r="I16" i="1"/>
  <c r="I12" i="1"/>
  <c r="I9" i="1"/>
  <c r="O9" i="1" s="1"/>
  <c r="O11" i="1" s="1"/>
  <c r="I6" i="1"/>
  <c r="O81" i="1" l="1"/>
  <c r="J6" i="1"/>
  <c r="U6" i="1"/>
  <c r="S6" i="1" s="1"/>
  <c r="J54" i="1"/>
  <c r="U45" i="1"/>
  <c r="T45" i="1" s="1"/>
  <c r="J42" i="1"/>
  <c r="U36" i="1"/>
  <c r="T36" i="1" s="1"/>
  <c r="J82" i="1"/>
  <c r="U67" i="1"/>
  <c r="S67" i="1" s="1"/>
  <c r="J10" i="1"/>
  <c r="U10" i="1"/>
  <c r="T10" i="1" s="1"/>
  <c r="J25" i="1"/>
  <c r="U22" i="1"/>
  <c r="S22" i="1" s="1"/>
  <c r="J47" i="1"/>
  <c r="U38" i="1"/>
  <c r="S38" i="1" s="1"/>
  <c r="J61" i="1"/>
  <c r="U49" i="1"/>
  <c r="S49" i="1" s="1"/>
  <c r="J71" i="1"/>
  <c r="U59" i="1"/>
  <c r="S59" i="1" s="1"/>
  <c r="J84" i="1"/>
  <c r="U69" i="1"/>
  <c r="T69" i="1" s="1"/>
  <c r="J9" i="1"/>
  <c r="U9" i="1"/>
  <c r="T9" i="1" s="1"/>
  <c r="J26" i="1"/>
  <c r="U23" i="1"/>
  <c r="T23" i="1" s="1"/>
  <c r="J48" i="1"/>
  <c r="U39" i="1"/>
  <c r="S39" i="1" s="1"/>
  <c r="J62" i="1"/>
  <c r="U50" i="1"/>
  <c r="S50" i="1" s="1"/>
  <c r="J72" i="1"/>
  <c r="U60" i="1"/>
  <c r="S60" i="1" s="1"/>
  <c r="J85" i="1"/>
  <c r="U70" i="1"/>
  <c r="S70" i="1" s="1"/>
  <c r="J80" i="1"/>
  <c r="U65" i="1"/>
  <c r="T65" i="1" s="1"/>
  <c r="J16" i="1"/>
  <c r="U13" i="1"/>
  <c r="T13" i="1" s="1"/>
  <c r="J34" i="1"/>
  <c r="U28" i="1"/>
  <c r="S28" i="1" s="1"/>
  <c r="J50" i="1"/>
  <c r="U41" i="1"/>
  <c r="T41" i="1" s="1"/>
  <c r="J64" i="1"/>
  <c r="U52" i="1"/>
  <c r="T52" i="1" s="1"/>
  <c r="J77" i="1"/>
  <c r="U62" i="1"/>
  <c r="T62" i="1" s="1"/>
  <c r="J22" i="1"/>
  <c r="U19" i="1"/>
  <c r="T19" i="1" s="1"/>
  <c r="J70" i="1"/>
  <c r="U58" i="1"/>
  <c r="S58" i="1" s="1"/>
  <c r="J40" i="1"/>
  <c r="U34" i="1"/>
  <c r="T34" i="1" s="1"/>
  <c r="J69" i="1"/>
  <c r="U57" i="1"/>
  <c r="T57" i="1" s="1"/>
  <c r="J8" i="1"/>
  <c r="U8" i="1"/>
  <c r="T8" i="1" s="1"/>
  <c r="J56" i="1"/>
  <c r="U47" i="1"/>
  <c r="S47" i="1" s="1"/>
  <c r="J12" i="1"/>
  <c r="U12" i="1"/>
  <c r="S12" i="1" s="1"/>
  <c r="J27" i="1"/>
  <c r="U24" i="1"/>
  <c r="S24" i="1" s="1"/>
  <c r="J49" i="1"/>
  <c r="U40" i="1"/>
  <c r="S40" i="1" s="1"/>
  <c r="J63" i="1"/>
  <c r="U51" i="1"/>
  <c r="T51" i="1" s="1"/>
  <c r="J76" i="1"/>
  <c r="U61" i="1"/>
  <c r="J17" i="1"/>
  <c r="U14" i="1"/>
  <c r="S14" i="1" s="1"/>
  <c r="J35" i="1"/>
  <c r="U29" i="1"/>
  <c r="S29" i="1" s="1"/>
  <c r="J51" i="1"/>
  <c r="U42" i="1"/>
  <c r="S42" i="1" s="1"/>
  <c r="J66" i="1"/>
  <c r="U54" i="1"/>
  <c r="T54" i="1" s="1"/>
  <c r="J78" i="1"/>
  <c r="U63" i="1"/>
  <c r="T63" i="1" s="1"/>
  <c r="J18" i="1"/>
  <c r="U15" i="1"/>
  <c r="T15" i="1" s="1"/>
  <c r="J38" i="1"/>
  <c r="U32" i="1"/>
  <c r="S32" i="1" s="1"/>
  <c r="J53" i="1"/>
  <c r="U44" i="1"/>
  <c r="T44" i="1" s="1"/>
  <c r="J68" i="1"/>
  <c r="U56" i="1"/>
  <c r="S56" i="1" s="1"/>
  <c r="J79" i="1"/>
  <c r="U64" i="1"/>
  <c r="T64" i="1" s="1"/>
  <c r="B10" i="1"/>
  <c r="I83" i="1" l="1"/>
  <c r="U68" i="1" s="1"/>
  <c r="S68" i="1" s="1"/>
  <c r="I81" i="1"/>
  <c r="U66" i="1" s="1"/>
  <c r="S66" i="1" s="1"/>
  <c r="U55" i="1"/>
  <c r="T55" i="1" s="1"/>
  <c r="I57" i="1"/>
  <c r="I55" i="1"/>
  <c r="I46" i="1"/>
  <c r="I41" i="1"/>
  <c r="I37" i="1"/>
  <c r="U30" i="1"/>
  <c r="T30" i="1" s="1"/>
  <c r="I31" i="1"/>
  <c r="I24" i="1"/>
  <c r="I20" i="1"/>
  <c r="I5" i="1"/>
  <c r="I19" i="1"/>
  <c r="E17" i="1"/>
  <c r="E18" i="1" s="1"/>
  <c r="E19" i="1" s="1"/>
  <c r="U46" i="1" l="1"/>
  <c r="T46" i="1" s="1"/>
  <c r="O55" i="1"/>
  <c r="O56" i="1" s="1"/>
  <c r="B5" i="1" s="1"/>
  <c r="E32" i="1"/>
  <c r="K32" i="1" s="1"/>
  <c r="E20" i="1"/>
  <c r="E21" i="1" s="1"/>
  <c r="E22" i="1" s="1"/>
  <c r="E23" i="1" s="1"/>
  <c r="E24" i="1" s="1"/>
  <c r="E25" i="1" s="1"/>
  <c r="E26" i="1" s="1"/>
  <c r="E27" i="1" s="1"/>
  <c r="E6" i="1"/>
  <c r="E7" i="1" s="1"/>
  <c r="E8" i="1" s="1"/>
  <c r="E9" i="1" s="1"/>
  <c r="E10" i="1" s="1"/>
  <c r="E11" i="1" s="1"/>
  <c r="E12" i="1" s="1"/>
  <c r="Q5" i="1"/>
  <c r="J7" i="1"/>
  <c r="U7" i="1"/>
  <c r="T7" i="1" s="1"/>
  <c r="J32" i="1"/>
  <c r="U26" i="1"/>
  <c r="S26" i="1" s="1"/>
  <c r="J57" i="1"/>
  <c r="U48" i="1"/>
  <c r="S48" i="1" s="1"/>
  <c r="J31" i="1"/>
  <c r="U25" i="1"/>
  <c r="S25" i="1" s="1"/>
  <c r="J11" i="1"/>
  <c r="U11" i="1"/>
  <c r="S11" i="1" s="1"/>
  <c r="J20" i="1"/>
  <c r="U17" i="1"/>
  <c r="S17" i="1" s="1"/>
  <c r="J19" i="1"/>
  <c r="U16" i="1"/>
  <c r="T16" i="1" s="1"/>
  <c r="J21" i="1"/>
  <c r="U18" i="1"/>
  <c r="S18" i="1" s="1"/>
  <c r="J41" i="1"/>
  <c r="U35" i="1"/>
  <c r="S35" i="1" s="1"/>
  <c r="J46" i="1"/>
  <c r="U37" i="1"/>
  <c r="S37" i="1" s="1"/>
  <c r="J24" i="1"/>
  <c r="U21" i="1"/>
  <c r="S21" i="1" s="1"/>
  <c r="J33" i="1"/>
  <c r="U27" i="1"/>
  <c r="S27" i="1" s="1"/>
  <c r="J5" i="1"/>
  <c r="U5" i="1"/>
  <c r="S5" i="1" s="1"/>
  <c r="J37" i="1"/>
  <c r="U31" i="1"/>
  <c r="S31" i="1" s="1"/>
  <c r="J83" i="1"/>
  <c r="J67" i="1"/>
  <c r="J81" i="1"/>
  <c r="I14" i="1"/>
  <c r="L31" i="1"/>
  <c r="I29" i="1"/>
  <c r="K17" i="1"/>
  <c r="L17" i="1"/>
  <c r="K16" i="1"/>
  <c r="K31" i="1"/>
  <c r="L32" i="1" s="1"/>
  <c r="L16" i="1"/>
  <c r="E33" i="1" l="1"/>
  <c r="E34" i="1" s="1"/>
  <c r="E35" i="1" s="1"/>
  <c r="E36" i="1" s="1"/>
  <c r="E37" i="1" s="1"/>
  <c r="E38" i="1" s="1"/>
  <c r="E39" i="1" s="1"/>
  <c r="Q6" i="1"/>
  <c r="Q7" i="1" s="1"/>
  <c r="Q8" i="1" s="1"/>
  <c r="Q9" i="1" s="1"/>
  <c r="Q10" i="1" s="1"/>
  <c r="Q11" i="1" s="1"/>
  <c r="Q12" i="1" s="1"/>
  <c r="Q13" i="1" s="1"/>
  <c r="Q14" i="1" s="1"/>
  <c r="Q15" i="1" s="1"/>
  <c r="Q16" i="1" s="1"/>
  <c r="Q17" i="1" s="1"/>
  <c r="Q18" i="1" s="1"/>
  <c r="Q19" i="1" s="1"/>
  <c r="Q20" i="1" s="1"/>
  <c r="Q21" i="1" s="1"/>
  <c r="Q22" i="1" s="1"/>
  <c r="Q23" i="1" s="1"/>
  <c r="Q24" i="1" s="1"/>
  <c r="Q25" i="1" s="1"/>
  <c r="Q26" i="1" s="1"/>
  <c r="Q27" i="1" s="1"/>
  <c r="Q28" i="1" s="1"/>
  <c r="Q29" i="1" s="1"/>
  <c r="Q30" i="1" s="1"/>
  <c r="Q31" i="1" s="1"/>
  <c r="Q32" i="1" s="1"/>
  <c r="B6" i="1"/>
  <c r="J36" i="1"/>
  <c r="J23" i="1"/>
  <c r="K12" i="1"/>
  <c r="L29" i="1"/>
  <c r="G31" i="1"/>
  <c r="M29" i="1"/>
  <c r="L14" i="1"/>
  <c r="M14" i="1"/>
  <c r="K18" i="1"/>
  <c r="L18" i="1"/>
  <c r="K7" i="1" l="1"/>
  <c r="L5" i="1"/>
  <c r="L9" i="1"/>
  <c r="L6" i="1"/>
  <c r="L10" i="1"/>
  <c r="K6" i="1"/>
  <c r="K5" i="1"/>
  <c r="L8" i="1"/>
  <c r="K10" i="1"/>
  <c r="L12" i="1"/>
  <c r="K11" i="1"/>
  <c r="L7" i="1"/>
  <c r="L11" i="1"/>
  <c r="K9" i="1"/>
  <c r="K8" i="1"/>
  <c r="K19" i="1"/>
  <c r="L19" i="1"/>
  <c r="K20" i="1" l="1"/>
  <c r="L20" i="1"/>
  <c r="K21" i="1" l="1"/>
  <c r="L21" i="1"/>
  <c r="K22" i="1" l="1"/>
  <c r="L22" i="1"/>
  <c r="K23" i="1" l="1"/>
  <c r="L23" i="1"/>
  <c r="K24" i="1" l="1"/>
  <c r="L24" i="1"/>
  <c r="K25" i="1" l="1"/>
  <c r="L25" i="1"/>
  <c r="K26" i="1" l="1"/>
  <c r="L26" i="1"/>
  <c r="K27" i="1" l="1"/>
  <c r="L27" i="1"/>
  <c r="I39" i="1" l="1"/>
  <c r="E47" i="1"/>
  <c r="U71" i="1"/>
  <c r="S71" i="1" s="1"/>
  <c r="L76" i="1"/>
  <c r="I65" i="1"/>
  <c r="L61" i="1"/>
  <c r="U43" i="1"/>
  <c r="T43" i="1" s="1"/>
  <c r="U53" i="1" l="1"/>
  <c r="T53" i="1" s="1"/>
  <c r="O65" i="1"/>
  <c r="O68" i="1" s="1"/>
  <c r="U33" i="1"/>
  <c r="O39" i="1"/>
  <c r="O41" i="1" s="1"/>
  <c r="K76" i="1"/>
  <c r="E77" i="1" s="1"/>
  <c r="K77" i="1" s="1"/>
  <c r="L78" i="1" s="1"/>
  <c r="E106" i="1"/>
  <c r="E121" i="1" s="1"/>
  <c r="E136" i="1" s="1"/>
  <c r="J86" i="1"/>
  <c r="E62" i="1"/>
  <c r="K61" i="1"/>
  <c r="L62" i="1" s="1"/>
  <c r="K47" i="1"/>
  <c r="L48" i="1" s="1"/>
  <c r="E48" i="1"/>
  <c r="J65" i="1"/>
  <c r="J39" i="1"/>
  <c r="E40" i="1"/>
  <c r="E41" i="1" s="1"/>
  <c r="E42" i="1" s="1"/>
  <c r="J52" i="1"/>
  <c r="J55" i="1" s="1"/>
  <c r="B9" i="1"/>
  <c r="L46" i="1"/>
  <c r="I59" i="1"/>
  <c r="M59" i="1" s="1"/>
  <c r="L33" i="1"/>
  <c r="I44" i="1"/>
  <c r="M44" i="1" s="1"/>
  <c r="K33" i="1"/>
  <c r="K46" i="1"/>
  <c r="E151" i="1" l="1"/>
  <c r="L160" i="1" s="1"/>
  <c r="L119" i="1"/>
  <c r="Q33" i="1"/>
  <c r="Q34" i="1" s="1"/>
  <c r="Q35" i="1" s="1"/>
  <c r="Q36" i="1" s="1"/>
  <c r="Q37" i="1" s="1"/>
  <c r="Q38" i="1" s="1"/>
  <c r="Q39" i="1" s="1"/>
  <c r="Q40" i="1" s="1"/>
  <c r="Q41" i="1" s="1"/>
  <c r="Q42" i="1" s="1"/>
  <c r="Q43" i="1" s="1"/>
  <c r="Q44" i="1" s="1"/>
  <c r="Q45" i="1" s="1"/>
  <c r="Q46" i="1" s="1"/>
  <c r="Q47" i="1" s="1"/>
  <c r="Q48" i="1" s="1"/>
  <c r="Q49" i="1" s="1"/>
  <c r="Q50" i="1" s="1"/>
  <c r="Q51" i="1" s="1"/>
  <c r="Q52" i="1" s="1"/>
  <c r="Q53" i="1" s="1"/>
  <c r="Q54" i="1" s="1"/>
  <c r="Q55" i="1" s="1"/>
  <c r="Q56" i="1" s="1"/>
  <c r="Q57" i="1" s="1"/>
  <c r="Q58" i="1" s="1"/>
  <c r="Q59" i="1" s="1"/>
  <c r="Q60" i="1" s="1"/>
  <c r="Q61" i="1" s="1"/>
  <c r="Q62" i="1" s="1"/>
  <c r="Q63" i="1" s="1"/>
  <c r="Q64" i="1" s="1"/>
  <c r="Q65" i="1" s="1"/>
  <c r="Q66" i="1" s="1"/>
  <c r="Q67" i="1" s="1"/>
  <c r="Q68" i="1" s="1"/>
  <c r="Q69" i="1" s="1"/>
  <c r="Q70" i="1" s="1"/>
  <c r="Q71" i="1" s="1"/>
  <c r="Q72" i="1" s="1"/>
  <c r="Q73" i="1" s="1"/>
  <c r="Q74" i="1" s="1"/>
  <c r="T33" i="1"/>
  <c r="L106" i="1"/>
  <c r="K106" i="1"/>
  <c r="L77" i="1"/>
  <c r="L91" i="1"/>
  <c r="K91" i="1"/>
  <c r="E92" i="1" s="1"/>
  <c r="K48" i="1"/>
  <c r="L49" i="1" s="1"/>
  <c r="E49" i="1"/>
  <c r="E63" i="1"/>
  <c r="K62" i="1"/>
  <c r="L63" i="1" s="1"/>
  <c r="E78" i="1"/>
  <c r="K78" i="1" s="1"/>
  <c r="E79" i="1" s="1"/>
  <c r="K79" i="1" s="1"/>
  <c r="L47" i="1"/>
  <c r="K34" i="1"/>
  <c r="L35" i="1" s="1"/>
  <c r="L34" i="1"/>
  <c r="G61" i="1"/>
  <c r="L59" i="1"/>
  <c r="L44" i="1"/>
  <c r="G46" i="1"/>
  <c r="L149" i="1" l="1"/>
  <c r="L121" i="1"/>
  <c r="K121" i="1"/>
  <c r="E122" i="1" s="1"/>
  <c r="L134" i="1"/>
  <c r="K107" i="1"/>
  <c r="E107" i="1"/>
  <c r="L107" i="1"/>
  <c r="K92" i="1"/>
  <c r="E93" i="1" s="1"/>
  <c r="L92" i="1"/>
  <c r="L79" i="1"/>
  <c r="E64" i="1"/>
  <c r="K63" i="1"/>
  <c r="L64" i="1" s="1"/>
  <c r="E50" i="1"/>
  <c r="K49" i="1"/>
  <c r="L50" i="1" s="1"/>
  <c r="K35" i="1"/>
  <c r="L36" i="1" s="1"/>
  <c r="L136" i="1" l="1"/>
  <c r="K136" i="1"/>
  <c r="E137" i="1" s="1"/>
  <c r="L122" i="1"/>
  <c r="K122" i="1"/>
  <c r="E123" i="1" s="1"/>
  <c r="K108" i="1"/>
  <c r="L108" i="1"/>
  <c r="E108" i="1"/>
  <c r="E51" i="1"/>
  <c r="K50" i="1"/>
  <c r="L51" i="1" s="1"/>
  <c r="E65" i="1"/>
  <c r="K64" i="1"/>
  <c r="L65" i="1" s="1"/>
  <c r="L80" i="1"/>
  <c r="E80" i="1"/>
  <c r="K80" i="1" s="1"/>
  <c r="E81" i="1" s="1"/>
  <c r="K81" i="1" s="1"/>
  <c r="K36" i="1"/>
  <c r="F241" i="1"/>
  <c r="G248" i="1" s="1"/>
  <c r="G249" i="1" s="1"/>
  <c r="F244" i="1"/>
  <c r="F245" i="1"/>
  <c r="F248" i="1"/>
  <c r="G255" i="1" s="1"/>
  <c r="F253" i="1"/>
  <c r="G260" i="1" s="1"/>
  <c r="G271" i="1"/>
  <c r="K137" i="1" l="1"/>
  <c r="E138" i="1" s="1"/>
  <c r="L137" i="1"/>
  <c r="L123" i="1"/>
  <c r="K123" i="1"/>
  <c r="E124" i="1" s="1"/>
  <c r="E109" i="1"/>
  <c r="K109" i="1"/>
  <c r="L109" i="1"/>
  <c r="L81" i="1"/>
  <c r="E52" i="1"/>
  <c r="K51" i="1"/>
  <c r="L52" i="1" s="1"/>
  <c r="E66" i="1"/>
  <c r="K65" i="1"/>
  <c r="L82" i="1"/>
  <c r="E82" i="1"/>
  <c r="K82" i="1" s="1"/>
  <c r="E83" i="1" s="1"/>
  <c r="K83" i="1" s="1"/>
  <c r="K37" i="1"/>
  <c r="L38" i="1" s="1"/>
  <c r="L37" i="1"/>
  <c r="F246" i="1"/>
  <c r="L138" i="1" l="1"/>
  <c r="K138" i="1"/>
  <c r="E139" i="1" s="1"/>
  <c r="L124" i="1"/>
  <c r="K124" i="1"/>
  <c r="E125" i="1" s="1"/>
  <c r="E110" i="1"/>
  <c r="L110" i="1"/>
  <c r="K110" i="1"/>
  <c r="L83" i="1"/>
  <c r="K66" i="1"/>
  <c r="E67" i="1"/>
  <c r="E53" i="1"/>
  <c r="K52" i="1"/>
  <c r="L53" i="1" s="1"/>
  <c r="K38" i="1"/>
  <c r="L39" i="1" s="1"/>
  <c r="U219" i="1"/>
  <c r="K139" i="1" l="1"/>
  <c r="E140" i="1" s="1"/>
  <c r="L139" i="1"/>
  <c r="L125" i="1"/>
  <c r="K125" i="1"/>
  <c r="E126" i="1" s="1"/>
  <c r="K111" i="1"/>
  <c r="L111" i="1"/>
  <c r="E111" i="1"/>
  <c r="K53" i="1"/>
  <c r="L54" i="1" s="1"/>
  <c r="E54" i="1"/>
  <c r="E68" i="1"/>
  <c r="K67" i="1"/>
  <c r="K39" i="1"/>
  <c r="L40" i="1" s="1"/>
  <c r="H261" i="1"/>
  <c r="L250" i="1" s="1"/>
  <c r="H256" i="1"/>
  <c r="L245" i="1" s="1"/>
  <c r="L140" i="1" l="1"/>
  <c r="K140" i="1"/>
  <c r="E141" i="1" s="1"/>
  <c r="L126" i="1"/>
  <c r="K126" i="1"/>
  <c r="E127" i="1" s="1"/>
  <c r="L112" i="1"/>
  <c r="K112" i="1"/>
  <c r="E112" i="1"/>
  <c r="L251" i="1"/>
  <c r="E69" i="1"/>
  <c r="K68" i="1"/>
  <c r="K54" i="1"/>
  <c r="L55" i="1" s="1"/>
  <c r="E55" i="1"/>
  <c r="K40" i="1"/>
  <c r="L41" i="1" s="1"/>
  <c r="V279" i="1"/>
  <c r="K141" i="1" l="1"/>
  <c r="E142" i="1" s="1"/>
  <c r="L141" i="1"/>
  <c r="L127" i="1"/>
  <c r="K127" i="1"/>
  <c r="E128" i="1" s="1"/>
  <c r="L113" i="1"/>
  <c r="K113" i="1"/>
  <c r="E113" i="1"/>
  <c r="K55" i="1"/>
  <c r="L56" i="1" s="1"/>
  <c r="E56" i="1"/>
  <c r="E70" i="1"/>
  <c r="K69" i="1"/>
  <c r="K41" i="1"/>
  <c r="L42" i="1" s="1"/>
  <c r="L142" i="1" l="1"/>
  <c r="K142" i="1"/>
  <c r="E143" i="1" s="1"/>
  <c r="L128" i="1"/>
  <c r="K128" i="1"/>
  <c r="E129" i="1" s="1"/>
  <c r="K114" i="1"/>
  <c r="E114" i="1"/>
  <c r="L114" i="1"/>
  <c r="E71" i="1"/>
  <c r="K70" i="1"/>
  <c r="K56" i="1"/>
  <c r="L57" i="1" s="1"/>
  <c r="E57" i="1"/>
  <c r="K57" i="1" s="1"/>
  <c r="K42" i="1"/>
  <c r="L143" i="1" l="1"/>
  <c r="K143" i="1"/>
  <c r="E144" i="1" s="1"/>
  <c r="L129" i="1"/>
  <c r="K129" i="1"/>
  <c r="E130" i="1" s="1"/>
  <c r="L115" i="1"/>
  <c r="K115" i="1"/>
  <c r="E115" i="1"/>
  <c r="E72" i="1"/>
  <c r="K72" i="1" s="1"/>
  <c r="K71" i="1"/>
  <c r="L144" i="1" l="1"/>
  <c r="K144" i="1"/>
  <c r="E145" i="1" s="1"/>
  <c r="L130" i="1"/>
  <c r="K130" i="1"/>
  <c r="E131" i="1" s="1"/>
  <c r="E116" i="1"/>
  <c r="L116" i="1"/>
  <c r="K116" i="1"/>
  <c r="B11" i="1"/>
  <c r="L145" i="1" l="1"/>
  <c r="K145" i="1"/>
  <c r="K131" i="1"/>
  <c r="E132" i="1" s="1"/>
  <c r="L131" i="1"/>
  <c r="E117" i="1"/>
  <c r="L117" i="1"/>
  <c r="K117" i="1"/>
  <c r="G121" i="1" s="1"/>
  <c r="I74" i="1"/>
  <c r="E84" i="1"/>
  <c r="K84" i="1" s="1"/>
  <c r="L132" i="1" l="1"/>
  <c r="K132" i="1"/>
  <c r="G136" i="1" s="1"/>
  <c r="M74" i="1"/>
  <c r="L74" i="1"/>
  <c r="G76" i="1"/>
  <c r="L146" i="1" l="1"/>
  <c r="K146" i="1"/>
  <c r="E147" i="1" s="1"/>
  <c r="E85" i="1"/>
  <c r="K85" i="1" s="1"/>
  <c r="L84" i="1"/>
  <c r="G64" i="1"/>
  <c r="G65" i="1" s="1"/>
  <c r="G66" i="1" s="1"/>
  <c r="G67" i="1" s="1"/>
  <c r="G68" i="1" s="1"/>
  <c r="G69" i="1" s="1"/>
  <c r="G70" i="1" s="1"/>
  <c r="G71" i="1" s="1"/>
  <c r="F64" i="1"/>
  <c r="F65" i="1" s="1"/>
  <c r="F66" i="1" s="1"/>
  <c r="F67" i="1" s="1"/>
  <c r="F68" i="1" s="1"/>
  <c r="F69" i="1" s="1"/>
  <c r="F70" i="1" s="1"/>
  <c r="F71" i="1" s="1"/>
  <c r="L147" i="1" l="1"/>
  <c r="K147" i="1"/>
  <c r="E86" i="1"/>
  <c r="K86" i="1" s="1"/>
  <c r="L85" i="1"/>
  <c r="F72" i="1"/>
  <c r="F78" i="1" s="1"/>
  <c r="F80" i="1" s="1"/>
  <c r="F83" i="1" s="1"/>
  <c r="F77" i="1"/>
  <c r="F79" i="1" s="1"/>
  <c r="G72" i="1"/>
  <c r="G78" i="1" s="1"/>
  <c r="G79" i="1" s="1"/>
  <c r="G80" i="1" s="1"/>
  <c r="G77" i="1"/>
  <c r="L151" i="1" l="1"/>
  <c r="K151" i="1"/>
  <c r="E152" i="1" s="1"/>
  <c r="L87" i="1"/>
  <c r="E87" i="1"/>
  <c r="K87" i="1" s="1"/>
  <c r="L86" i="1"/>
  <c r="G81" i="1"/>
  <c r="G83" i="1" s="1"/>
  <c r="G82" i="1"/>
  <c r="F81" i="1"/>
  <c r="F82" i="1"/>
  <c r="L152" i="1" l="1"/>
  <c r="K152" i="1"/>
  <c r="E153" i="1" s="1"/>
  <c r="L66" i="1"/>
  <c r="K153" i="1" l="1"/>
  <c r="E154" i="1" s="1"/>
  <c r="L153" i="1"/>
  <c r="L67" i="1"/>
  <c r="L68" i="1"/>
  <c r="L154" i="1" l="1"/>
  <c r="K154" i="1"/>
  <c r="E155" i="1" s="1"/>
  <c r="L69" i="1"/>
  <c r="L155" i="1" l="1"/>
  <c r="K155" i="1"/>
  <c r="E156" i="1" s="1"/>
  <c r="L70" i="1"/>
  <c r="L156" i="1" l="1"/>
  <c r="K156" i="1"/>
  <c r="E157" i="1" s="1"/>
  <c r="L71" i="1"/>
  <c r="L157" i="1" l="1"/>
  <c r="K157" i="1"/>
  <c r="E158" i="1" s="1"/>
  <c r="L72" i="1"/>
  <c r="L158" i="1" l="1"/>
  <c r="K158" i="1"/>
  <c r="I89" i="1"/>
  <c r="L89" i="1" s="1"/>
  <c r="M89" i="1" l="1"/>
  <c r="G91" i="1"/>
  <c r="K93" i="1"/>
  <c r="E94" i="1" s="1"/>
  <c r="L94" i="1" s="1"/>
  <c r="U75" i="1"/>
  <c r="T75" i="1" s="1"/>
  <c r="L93" i="1"/>
  <c r="U76" i="1"/>
  <c r="T76" i="1" s="1"/>
  <c r="L104" i="1" l="1"/>
  <c r="G106" i="1"/>
  <c r="Q75" i="1"/>
  <c r="Q76" i="1" s="1"/>
  <c r="Q77" i="1" s="1"/>
  <c r="Q78" i="1" s="1"/>
  <c r="Q79" i="1" s="1"/>
  <c r="K94" i="1"/>
  <c r="E95" i="1" s="1"/>
  <c r="M104" i="1"/>
  <c r="M173" i="1" s="1"/>
  <c r="E173" i="1" s="1"/>
  <c r="E175" i="1" l="1"/>
  <c r="E176" i="1" s="1"/>
  <c r="E177" i="1" s="1"/>
  <c r="K95" i="1"/>
  <c r="E96" i="1" s="1"/>
  <c r="L96" i="1" s="1"/>
  <c r="Q80" i="1"/>
  <c r="L95" i="1"/>
  <c r="K96" i="1" l="1"/>
  <c r="E97" i="1" s="1"/>
  <c r="K97" i="1" s="1"/>
  <c r="E98" i="1" s="1"/>
  <c r="Q82" i="1"/>
  <c r="Q83" i="1"/>
  <c r="Q84" i="1" s="1"/>
  <c r="Q81" i="1"/>
  <c r="L97" i="1" l="1"/>
  <c r="K98" i="1"/>
  <c r="E99" i="1" s="1"/>
  <c r="L98" i="1"/>
  <c r="L99" i="1" l="1"/>
  <c r="K99" i="1"/>
  <c r="E100" i="1" s="1"/>
  <c r="K100" i="1" l="1"/>
  <c r="E101" i="1" s="1"/>
  <c r="L100" i="1"/>
  <c r="L101" i="1" l="1"/>
  <c r="K101" i="1"/>
  <c r="E102" i="1" s="1"/>
  <c r="L102" i="1" l="1"/>
  <c r="K102" i="1"/>
  <c r="S85" i="1" l="1"/>
  <c r="Q85" i="1"/>
  <c r="Q86" i="1" s="1"/>
  <c r="Q87" i="1" s="1"/>
  <c r="Q88" i="1" s="1"/>
  <c r="Q89" i="1" l="1"/>
  <c r="Q90" i="1" l="1"/>
  <c r="Q91" i="1" s="1"/>
  <c r="Q92" i="1" s="1"/>
  <c r="Q93" i="1" s="1"/>
  <c r="Q94" i="1" s="1"/>
  <c r="Q95" i="1" s="1"/>
  <c r="Q96" i="1" l="1"/>
  <c r="Q97" i="1" s="1"/>
  <c r="Q98" i="1" s="1"/>
  <c r="Q99" i="1" s="1"/>
  <c r="Q100" i="1" s="1"/>
  <c r="Q101" i="1" s="1"/>
  <c r="Q102" i="1" s="1"/>
  <c r="Q103" i="1" s="1"/>
  <c r="Q104" i="1" s="1"/>
  <c r="Q105" i="1" s="1"/>
  <c r="Q106" i="1" s="1"/>
  <c r="Q107" i="1" s="1"/>
  <c r="Q108" i="1" s="1"/>
  <c r="Q109" i="1" s="1"/>
  <c r="Q110" i="1" s="1"/>
  <c r="Q111" i="1" s="1"/>
  <c r="Q112" i="1" s="1"/>
  <c r="Q113" i="1" s="1"/>
  <c r="Q114" i="1" s="1"/>
  <c r="Q115" i="1" s="1"/>
  <c r="Q116" i="1" s="1"/>
  <c r="Q117" i="1" s="1"/>
  <c r="Q118" i="1" s="1"/>
  <c r="Q128" i="1" s="1"/>
  <c r="B4" i="1"/>
  <c r="B8" i="1" s="1"/>
  <c r="B17" i="1"/>
  <c r="B18" i="1" s="1"/>
  <c r="B19" i="1" s="1"/>
  <c r="B20" i="1" s="1"/>
</calcChain>
</file>

<file path=xl/sharedStrings.xml><?xml version="1.0" encoding="utf-8"?>
<sst xmlns="http://schemas.openxmlformats.org/spreadsheetml/2006/main" count="200" uniqueCount="107">
  <si>
    <t>Period</t>
  </si>
  <si>
    <t>Beginning</t>
  </si>
  <si>
    <t>With-</t>
  </si>
  <si>
    <t>Net</t>
  </si>
  <si>
    <t>Ending</t>
  </si>
  <si>
    <t>Rate of</t>
  </si>
  <si>
    <t>Equity</t>
  </si>
  <si>
    <t>Additions</t>
  </si>
  <si>
    <t>drawals</t>
  </si>
  <si>
    <t>Performance</t>
  </si>
  <si>
    <t>Return</t>
  </si>
  <si>
    <t>-----------</t>
  </si>
  <si>
    <t>--------</t>
  </si>
  <si>
    <t>total</t>
  </si>
  <si>
    <t>Months</t>
  </si>
  <si>
    <t>APPM</t>
  </si>
  <si>
    <t>APPY</t>
  </si>
  <si>
    <t>Draw</t>
  </si>
  <si>
    <t>RR</t>
  </si>
  <si>
    <t>%APPY</t>
  </si>
  <si>
    <t>December</t>
  </si>
  <si>
    <t xml:space="preserve">Hedges </t>
  </si>
  <si>
    <t>Hedge roll</t>
  </si>
  <si>
    <t>March L3</t>
  </si>
  <si>
    <t>4 300</t>
  </si>
  <si>
    <t>12/1/17 L3</t>
  </si>
  <si>
    <t>12/29/17</t>
  </si>
  <si>
    <t xml:space="preserve">Settle </t>
  </si>
  <si>
    <t>18-Jan</t>
  </si>
  <si>
    <t>1/31/set</t>
  </si>
  <si>
    <t>com</t>
  </si>
  <si>
    <t>Long 3</t>
  </si>
  <si>
    <t>Reverse to 1</t>
  </si>
  <si>
    <t>Point loss</t>
  </si>
  <si>
    <t>dollar loss</t>
  </si>
  <si>
    <t>commission</t>
  </si>
  <si>
    <t>Delivered</t>
  </si>
  <si>
    <t>2/5  S 1</t>
  </si>
  <si>
    <t>out to N</t>
  </si>
  <si>
    <t>18-Feb</t>
  </si>
  <si>
    <t>3/1/2018 s</t>
  </si>
  <si>
    <t>hedge</t>
  </si>
  <si>
    <t>s</t>
  </si>
  <si>
    <t>settle</t>
  </si>
  <si>
    <t>hedge -3</t>
  </si>
  <si>
    <t>3/30 s</t>
  </si>
  <si>
    <t>18-Mar</t>
  </si>
  <si>
    <t>18-Apr</t>
  </si>
  <si>
    <t>4/30 s4</t>
  </si>
  <si>
    <t>18-May</t>
  </si>
  <si>
    <t>18-Jun</t>
  </si>
  <si>
    <t>18-Jul</t>
  </si>
  <si>
    <t>18-Aug</t>
  </si>
  <si>
    <t>18-Sep</t>
  </si>
  <si>
    <t>18-Oct</t>
  </si>
  <si>
    <t>18-Nov</t>
  </si>
  <si>
    <t>years</t>
  </si>
  <si>
    <t>Start</t>
  </si>
  <si>
    <t>Adjust +</t>
  </si>
  <si>
    <t>Adjust -</t>
  </si>
  <si>
    <t>DD%</t>
  </si>
  <si>
    <t>PPM</t>
  </si>
  <si>
    <t>A%PPY</t>
  </si>
  <si>
    <t>19-Jan</t>
  </si>
  <si>
    <t>18-Dec</t>
  </si>
  <si>
    <t>19-Feb</t>
  </si>
  <si>
    <t>19-Mar</t>
  </si>
  <si>
    <t>19-Apr</t>
  </si>
  <si>
    <t>19-May</t>
  </si>
  <si>
    <t>19-Jun</t>
  </si>
  <si>
    <t>19-Jul</t>
  </si>
  <si>
    <t>Period Ending</t>
  </si>
  <si>
    <t>Winning Months</t>
  </si>
  <si>
    <t>Losing Months</t>
  </si>
  <si>
    <t>Cumulative Net Profit Trading One Unit</t>
  </si>
  <si>
    <t>out Dec</t>
  </si>
  <si>
    <t>19-Aug</t>
  </si>
  <si>
    <t>19-Sep</t>
  </si>
  <si>
    <t>19Aug</t>
  </si>
  <si>
    <t>19-Oct</t>
  </si>
  <si>
    <t>19-Nov</t>
  </si>
  <si>
    <t>19-Dec</t>
  </si>
  <si>
    <t>Total</t>
  </si>
  <si>
    <t>20-Jan</t>
  </si>
  <si>
    <t>20-Feb</t>
  </si>
  <si>
    <t>20-Mar</t>
  </si>
  <si>
    <t>20-Apr</t>
  </si>
  <si>
    <t>20-May</t>
  </si>
  <si>
    <t>20-Jun</t>
  </si>
  <si>
    <t>20-Jul</t>
  </si>
  <si>
    <t>20-Aug</t>
  </si>
  <si>
    <t>20-Sep</t>
  </si>
  <si>
    <t>20-Oct</t>
  </si>
  <si>
    <t>20-Nov</t>
  </si>
  <si>
    <t>20-Dec</t>
  </si>
  <si>
    <t>21-Jan</t>
  </si>
  <si>
    <t>Last 12</t>
  </si>
  <si>
    <t>Best</t>
  </si>
  <si>
    <t>Worst</t>
  </si>
  <si>
    <t>Points</t>
  </si>
  <si>
    <t>Commission</t>
  </si>
  <si>
    <t>Trades</t>
  </si>
  <si>
    <t>Dollars</t>
  </si>
  <si>
    <t>Silver EMA 9-18</t>
  </si>
  <si>
    <t>Copper EMA 9-18</t>
  </si>
  <si>
    <t xml:space="preserve">Gold Daily </t>
  </si>
  <si>
    <t>Multiplier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</si>
</sst>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&quot;$&quot;#,##0.00;[Red]\-&quot;$&quot;#,##0.00"/>
    <numFmt numFmtId="164" formatCode="&quot;$&quot;#,##0.00_);[Red]\(&quot;$&quot;#,##0.00\)"/>
    <numFmt numFmtId="165" formatCode="0.0000_);[Red]\(0.0000\)"/>
    <numFmt numFmtId="166" formatCode="&quot;$&quot;#,##0.00;[Red]&quot;$&quot;#,##0.00"/>
    <numFmt numFmtId="167" formatCode="0.000%"/>
    <numFmt numFmtId="168" formatCode="&quot;$&quot;#,##0.00"/>
    <numFmt numFmtId="169" formatCode="yy\-mmm"/>
    <numFmt numFmtId="170" formatCode="0.00000"/>
    <numFmt numFmtId="171" formatCode="0.000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2"/>
      <color rgb="FF000000"/>
      <name val="Arial"/>
      <family val="2"/>
    </font>
    <font>
      <b/>
      <sz val="12"/>
      <color rgb="FFFF0000"/>
      <name val="Arial"/>
      <family val="2"/>
    </font>
    <font>
      <b/>
      <u/>
      <sz val="11"/>
      <color rgb="FF00206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rgb="FF00FF9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6" fillId="0" borderId="0" applyNumberFormat="0" applyFill="0" applyBorder="0" applyAlignment="0" applyProtection="0"/>
  </cellStyleXfs>
  <cellXfs count="118">
    <xf numFmtId="0" fontId="0" fillId="0" borderId="0" xfId="0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10" fontId="16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10" fontId="19" fillId="0" borderId="0" xfId="0" applyNumberFormat="1" applyFont="1" applyAlignment="1">
      <alignment horizontal="center"/>
    </xf>
    <xf numFmtId="16" fontId="18" fillId="0" borderId="0" xfId="0" applyNumberFormat="1" applyFont="1" applyAlignment="1">
      <alignment horizontal="center"/>
    </xf>
    <xf numFmtId="164" fontId="18" fillId="0" borderId="0" xfId="0" applyNumberFormat="1" applyFont="1" applyAlignment="1">
      <alignment horizontal="left" indent="1"/>
    </xf>
    <xf numFmtId="16" fontId="21" fillId="0" borderId="0" xfId="0" applyNumberFormat="1" applyFont="1" applyAlignment="1">
      <alignment horizontal="left" indent="1"/>
    </xf>
    <xf numFmtId="164" fontId="21" fillId="0" borderId="0" xfId="0" applyNumberFormat="1" applyFont="1" applyAlignment="1">
      <alignment horizontal="left" indent="1"/>
    </xf>
    <xf numFmtId="49" fontId="21" fillId="0" borderId="0" xfId="0" applyNumberFormat="1" applyFont="1" applyAlignment="1">
      <alignment horizontal="left" indent="1"/>
    </xf>
    <xf numFmtId="0" fontId="18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0" fillId="0" borderId="0" xfId="0" applyAlignment="1">
      <alignment horizontal="left"/>
    </xf>
    <xf numFmtId="4" fontId="0" fillId="0" borderId="0" xfId="0" applyNumberFormat="1" applyAlignment="1">
      <alignment horizontal="left"/>
    </xf>
    <xf numFmtId="0" fontId="22" fillId="0" borderId="0" xfId="0" applyFont="1"/>
    <xf numFmtId="10" fontId="21" fillId="0" borderId="0" xfId="0" applyNumberFormat="1" applyFont="1" applyAlignment="1">
      <alignment horizontal="left" indent="1"/>
    </xf>
    <xf numFmtId="0" fontId="1" fillId="0" borderId="0" xfId="0" applyFont="1"/>
    <xf numFmtId="4" fontId="16" fillId="0" borderId="0" xfId="0" applyNumberFormat="1" applyFont="1" applyAlignment="1">
      <alignment horizontal="center"/>
    </xf>
    <xf numFmtId="4" fontId="24" fillId="0" borderId="0" xfId="0" applyNumberFormat="1" applyFont="1" applyAlignment="1">
      <alignment horizontal="center"/>
    </xf>
    <xf numFmtId="4" fontId="22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3" fontId="16" fillId="0" borderId="0" xfId="0" applyNumberFormat="1" applyFont="1" applyAlignment="1">
      <alignment horizontal="center"/>
    </xf>
    <xf numFmtId="0" fontId="23" fillId="0" borderId="0" xfId="0" applyFont="1"/>
    <xf numFmtId="10" fontId="25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left"/>
    </xf>
    <xf numFmtId="8" fontId="0" fillId="0" borderId="0" xfId="0" applyNumberFormat="1" applyAlignment="1">
      <alignment horizontal="left"/>
    </xf>
    <xf numFmtId="8" fontId="18" fillId="0" borderId="0" xfId="0" applyNumberFormat="1" applyFont="1" applyAlignment="1">
      <alignment horizontal="left" indent="1"/>
    </xf>
    <xf numFmtId="8" fontId="18" fillId="0" borderId="0" xfId="0" applyNumberFormat="1" applyFont="1" applyAlignment="1">
      <alignment horizontal="left"/>
    </xf>
    <xf numFmtId="164" fontId="0" fillId="0" borderId="0" xfId="0" applyNumberFormat="1" applyAlignment="1">
      <alignment horizontal="left"/>
    </xf>
    <xf numFmtId="0" fontId="19" fillId="0" borderId="0" xfId="0" applyFont="1" applyAlignment="1">
      <alignment horizontal="center"/>
    </xf>
    <xf numFmtId="168" fontId="19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justify"/>
    </xf>
    <xf numFmtId="8" fontId="20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left"/>
    </xf>
    <xf numFmtId="164" fontId="16" fillId="0" borderId="0" xfId="0" applyNumberFormat="1" applyFont="1" applyAlignment="1">
      <alignment horizontal="left"/>
    </xf>
    <xf numFmtId="4" fontId="27" fillId="0" borderId="0" xfId="0" applyNumberFormat="1" applyFont="1" applyAlignment="1">
      <alignment horizontal="left"/>
    </xf>
    <xf numFmtId="0" fontId="28" fillId="0" borderId="0" xfId="0" applyFont="1" applyAlignment="1">
      <alignment horizontal="center" vertical="justify"/>
    </xf>
    <xf numFmtId="49" fontId="18" fillId="0" borderId="0" xfId="0" applyNumberFormat="1" applyFont="1" applyAlignment="1">
      <alignment horizontal="center"/>
    </xf>
    <xf numFmtId="0" fontId="28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8" fontId="0" fillId="0" borderId="0" xfId="0" applyNumberFormat="1" applyAlignment="1">
      <alignment horizontal="left" indent="1"/>
    </xf>
    <xf numFmtId="164" fontId="0" fillId="0" borderId="0" xfId="0" applyNumberFormat="1" applyAlignment="1">
      <alignment horizontal="left" indent="1"/>
    </xf>
    <xf numFmtId="169" fontId="18" fillId="0" borderId="0" xfId="0" applyNumberFormat="1" applyFont="1" applyAlignment="1">
      <alignment horizontal="center"/>
    </xf>
    <xf numFmtId="0" fontId="29" fillId="0" borderId="0" xfId="0" applyFont="1" applyAlignment="1">
      <alignment horizontal="left" indent="1"/>
    </xf>
    <xf numFmtId="0" fontId="30" fillId="0" borderId="0" xfId="0" applyFont="1" applyAlignment="1">
      <alignment horizontal="left" indent="1"/>
    </xf>
    <xf numFmtId="0" fontId="31" fillId="33" borderId="0" xfId="0" applyFont="1" applyFill="1" applyAlignment="1">
      <alignment horizontal="left" indent="1"/>
    </xf>
    <xf numFmtId="0" fontId="32" fillId="0" borderId="0" xfId="0" applyFont="1" applyAlignment="1">
      <alignment horizontal="left" indent="1"/>
    </xf>
    <xf numFmtId="0" fontId="31" fillId="0" borderId="0" xfId="0" applyFont="1" applyAlignment="1">
      <alignment horizontal="left" indent="1"/>
    </xf>
    <xf numFmtId="16" fontId="29" fillId="0" borderId="0" xfId="0" applyNumberFormat="1" applyFont="1" applyAlignment="1">
      <alignment horizontal="left" indent="1"/>
    </xf>
    <xf numFmtId="164" fontId="33" fillId="0" borderId="0" xfId="0" applyNumberFormat="1" applyFont="1" applyAlignment="1">
      <alignment horizontal="left" indent="1"/>
    </xf>
    <xf numFmtId="164" fontId="29" fillId="0" borderId="0" xfId="0" applyNumberFormat="1" applyFont="1" applyAlignment="1">
      <alignment horizontal="left" indent="1"/>
    </xf>
    <xf numFmtId="8" fontId="29" fillId="0" borderId="0" xfId="0" applyNumberFormat="1" applyFont="1" applyAlignment="1">
      <alignment horizontal="left" vertical="center" indent="1"/>
    </xf>
    <xf numFmtId="164" fontId="30" fillId="0" borderId="0" xfId="0" applyNumberFormat="1" applyFont="1" applyAlignment="1">
      <alignment horizontal="left" indent="1"/>
    </xf>
    <xf numFmtId="10" fontId="29" fillId="0" borderId="0" xfId="0" applyNumberFormat="1" applyFont="1" applyAlignment="1">
      <alignment horizontal="left" indent="1"/>
    </xf>
    <xf numFmtId="8" fontId="34" fillId="0" borderId="0" xfId="0" applyNumberFormat="1" applyFont="1" applyAlignment="1">
      <alignment horizontal="left" vertical="center" indent="1"/>
    </xf>
    <xf numFmtId="0" fontId="35" fillId="0" borderId="0" xfId="0" applyFont="1" applyAlignment="1">
      <alignment horizontal="left" vertical="center" indent="1"/>
    </xf>
    <xf numFmtId="8" fontId="33" fillId="0" borderId="0" xfId="0" applyNumberFormat="1" applyFont="1" applyAlignment="1">
      <alignment horizontal="left" vertical="center" indent="1"/>
    </xf>
    <xf numFmtId="0" fontId="33" fillId="0" borderId="0" xfId="0" applyFont="1" applyAlignment="1">
      <alignment horizontal="left" indent="1"/>
    </xf>
    <xf numFmtId="10" fontId="33" fillId="0" borderId="0" xfId="0" applyNumberFormat="1" applyFont="1" applyAlignment="1">
      <alignment horizontal="left" indent="1"/>
    </xf>
    <xf numFmtId="0" fontId="29" fillId="0" borderId="0" xfId="0" applyFont="1"/>
    <xf numFmtId="164" fontId="32" fillId="0" borderId="0" xfId="0" applyNumberFormat="1" applyFont="1" applyAlignment="1">
      <alignment horizontal="left" indent="1"/>
    </xf>
    <xf numFmtId="10" fontId="32" fillId="0" borderId="0" xfId="0" applyNumberFormat="1" applyFont="1" applyAlignment="1">
      <alignment horizontal="left" indent="1"/>
    </xf>
    <xf numFmtId="0" fontId="29" fillId="0" borderId="0" xfId="0" applyFont="1" applyAlignment="1">
      <alignment horizontal="center"/>
    </xf>
    <xf numFmtId="166" fontId="33" fillId="0" borderId="0" xfId="0" applyNumberFormat="1" applyFont="1" applyAlignment="1">
      <alignment horizontal="left" indent="1"/>
    </xf>
    <xf numFmtId="167" fontId="29" fillId="0" borderId="0" xfId="0" applyNumberFormat="1" applyFont="1" applyAlignment="1">
      <alignment horizontal="left" indent="1"/>
    </xf>
    <xf numFmtId="49" fontId="29" fillId="0" borderId="0" xfId="0" applyNumberFormat="1" applyFont="1" applyAlignment="1">
      <alignment horizontal="left" indent="1"/>
    </xf>
    <xf numFmtId="166" fontId="29" fillId="0" borderId="0" xfId="0" applyNumberFormat="1" applyFont="1" applyAlignment="1">
      <alignment horizontal="left" indent="1"/>
    </xf>
    <xf numFmtId="169" fontId="29" fillId="0" borderId="0" xfId="0" applyNumberFormat="1" applyFont="1" applyAlignment="1">
      <alignment horizontal="left" indent="1"/>
    </xf>
    <xf numFmtId="2" fontId="33" fillId="0" borderId="0" xfId="0" applyNumberFormat="1" applyFont="1" applyAlignment="1">
      <alignment horizontal="left" indent="1"/>
    </xf>
    <xf numFmtId="170" fontId="29" fillId="0" borderId="0" xfId="0" applyNumberFormat="1" applyFont="1" applyAlignment="1">
      <alignment horizontal="left" indent="1"/>
    </xf>
    <xf numFmtId="2" fontId="29" fillId="0" borderId="0" xfId="0" applyNumberFormat="1" applyFont="1" applyAlignment="1">
      <alignment horizontal="left"/>
    </xf>
    <xf numFmtId="49" fontId="29" fillId="0" borderId="0" xfId="0" applyNumberFormat="1" applyFont="1"/>
    <xf numFmtId="0" fontId="29" fillId="0" borderId="0" xfId="0" applyFont="1" applyAlignment="1">
      <alignment horizontal="left"/>
    </xf>
    <xf numFmtId="38" fontId="29" fillId="0" borderId="0" xfId="0" applyNumberFormat="1" applyFont="1" applyAlignment="1">
      <alignment horizontal="left" indent="1"/>
    </xf>
    <xf numFmtId="2" fontId="29" fillId="0" borderId="0" xfId="0" applyNumberFormat="1" applyFont="1"/>
    <xf numFmtId="170" fontId="33" fillId="0" borderId="0" xfId="0" applyNumberFormat="1" applyFont="1" applyAlignment="1">
      <alignment horizontal="left" indent="1"/>
    </xf>
    <xf numFmtId="2" fontId="29" fillId="0" borderId="0" xfId="0" applyNumberFormat="1" applyFont="1" applyAlignment="1">
      <alignment horizontal="left" indent="1"/>
    </xf>
    <xf numFmtId="8" fontId="29" fillId="0" borderId="0" xfId="0" applyNumberFormat="1" applyFont="1" applyAlignment="1">
      <alignment horizontal="left"/>
    </xf>
    <xf numFmtId="16" fontId="29" fillId="0" borderId="0" xfId="0" applyNumberFormat="1" applyFont="1" applyAlignment="1">
      <alignment horizontal="center"/>
    </xf>
    <xf numFmtId="165" fontId="29" fillId="0" borderId="0" xfId="0" applyNumberFormat="1" applyFont="1" applyAlignment="1">
      <alignment horizontal="left" indent="1"/>
    </xf>
    <xf numFmtId="165" fontId="30" fillId="0" borderId="0" xfId="0" applyNumberFormat="1" applyFont="1" applyAlignment="1">
      <alignment horizontal="left" indent="1"/>
    </xf>
    <xf numFmtId="2" fontId="30" fillId="0" borderId="0" xfId="0" applyNumberFormat="1" applyFont="1" applyAlignment="1">
      <alignment horizontal="left" indent="1"/>
    </xf>
    <xf numFmtId="2" fontId="29" fillId="0" borderId="0" xfId="0" applyNumberFormat="1" applyFont="1" applyAlignment="1">
      <alignment horizontal="left" wrapText="1" indent="1"/>
    </xf>
    <xf numFmtId="49" fontId="29" fillId="0" borderId="0" xfId="0" applyNumberFormat="1" applyFont="1" applyAlignment="1">
      <alignment horizontal="left"/>
    </xf>
    <xf numFmtId="14" fontId="29" fillId="0" borderId="0" xfId="0" applyNumberFormat="1" applyFont="1" applyAlignment="1">
      <alignment horizontal="left"/>
    </xf>
    <xf numFmtId="16" fontId="30" fillId="0" borderId="0" xfId="0" applyNumberFormat="1" applyFont="1" applyAlignment="1">
      <alignment horizontal="left" indent="1"/>
    </xf>
    <xf numFmtId="171" fontId="29" fillId="0" borderId="0" xfId="0" applyNumberFormat="1" applyFont="1" applyAlignment="1">
      <alignment horizontal="left" indent="1"/>
    </xf>
    <xf numFmtId="168" fontId="29" fillId="0" borderId="0" xfId="0" applyNumberFormat="1" applyFont="1" applyAlignment="1">
      <alignment horizontal="left"/>
    </xf>
    <xf numFmtId="49" fontId="29" fillId="0" borderId="0" xfId="0" applyNumberFormat="1" applyFont="1" applyAlignment="1">
      <alignment horizontal="center"/>
    </xf>
    <xf numFmtId="1" fontId="33" fillId="0" borderId="0" xfId="0" applyNumberFormat="1" applyFont="1" applyAlignment="1">
      <alignment horizontal="left" indent="1"/>
    </xf>
    <xf numFmtId="1" fontId="29" fillId="0" borderId="0" xfId="0" applyNumberFormat="1" applyFont="1"/>
    <xf numFmtId="0" fontId="31" fillId="0" borderId="0" xfId="0" applyFont="1" applyAlignment="1">
      <alignment horizontal="center"/>
    </xf>
    <xf numFmtId="164" fontId="29" fillId="0" borderId="0" xfId="0" applyNumberFormat="1" applyFont="1" applyAlignment="1">
      <alignment horizontal="center"/>
    </xf>
    <xf numFmtId="1" fontId="29" fillId="0" borderId="0" xfId="0" applyNumberFormat="1" applyFont="1" applyAlignment="1">
      <alignment horizontal="center"/>
    </xf>
    <xf numFmtId="165" fontId="29" fillId="0" borderId="0" xfId="0" applyNumberFormat="1" applyFont="1" applyAlignment="1">
      <alignment horizontal="center"/>
    </xf>
    <xf numFmtId="2" fontId="29" fillId="0" borderId="0" xfId="0" applyNumberFormat="1" applyFont="1" applyAlignment="1">
      <alignment horizontal="center"/>
    </xf>
    <xf numFmtId="1" fontId="29" fillId="0" borderId="0" xfId="0" applyNumberFormat="1" applyFont="1" applyAlignment="1">
      <alignment horizontal="left" indent="1"/>
    </xf>
    <xf numFmtId="164" fontId="33" fillId="0" borderId="0" xfId="0" applyNumberFormat="1" applyFont="1" applyAlignment="1">
      <alignment horizontal="left"/>
    </xf>
    <xf numFmtId="164" fontId="36" fillId="0" borderId="0" xfId="42" applyNumberFormat="1" applyFont="1" applyFill="1" applyBorder="1" applyAlignment="1">
      <alignment horizontal="left"/>
    </xf>
    <xf numFmtId="4" fontId="30" fillId="0" borderId="0" xfId="42" applyNumberFormat="1" applyFont="1" applyBorder="1" applyAlignment="1">
      <alignment horizontal="left" vertical="center"/>
    </xf>
    <xf numFmtId="4" fontId="33" fillId="34" borderId="0" xfId="0" applyNumberFormat="1" applyFont="1" applyFill="1" applyAlignment="1">
      <alignment horizontal="left"/>
    </xf>
    <xf numFmtId="4" fontId="29" fillId="0" borderId="0" xfId="0" applyNumberFormat="1" applyFont="1" applyAlignment="1">
      <alignment horizontal="left"/>
    </xf>
    <xf numFmtId="10" fontId="33" fillId="34" borderId="0" xfId="0" applyNumberFormat="1" applyFont="1" applyFill="1" applyAlignment="1">
      <alignment horizontal="left"/>
    </xf>
    <xf numFmtId="10" fontId="29" fillId="0" borderId="0" xfId="0" applyNumberFormat="1" applyFont="1" applyAlignment="1">
      <alignment horizontal="left"/>
    </xf>
    <xf numFmtId="10" fontId="36" fillId="0" borderId="0" xfId="0" applyNumberFormat="1" applyFont="1" applyAlignment="1">
      <alignment horizontal="left"/>
    </xf>
    <xf numFmtId="168" fontId="29" fillId="0" borderId="0" xfId="0" applyNumberFormat="1" applyFont="1" applyAlignment="1">
      <alignment horizontal="center"/>
    </xf>
    <xf numFmtId="0" fontId="37" fillId="0" borderId="0" xfId="42" applyFont="1"/>
    <xf numFmtId="168" fontId="33" fillId="0" borderId="0" xfId="0" applyNumberFormat="1" applyFont="1" applyAlignment="1">
      <alignment horizontal="left"/>
    </xf>
    <xf numFmtId="168" fontId="33" fillId="34" borderId="0" xfId="0" applyNumberFormat="1" applyFont="1" applyFill="1" applyAlignment="1">
      <alignment horizontal="left"/>
    </xf>
    <xf numFmtId="0" fontId="26" fillId="0" borderId="0" xfId="42"/>
    <xf numFmtId="0" fontId="31" fillId="33" borderId="0" xfId="0" applyFont="1" applyFill="1" applyAlignment="1">
      <alignment horizontal="center" vertical="center"/>
    </xf>
    <xf numFmtId="8" fontId="20" fillId="33" borderId="0" xfId="0" applyNumberFormat="1" applyFont="1" applyFill="1" applyAlignment="1">
      <alignment horizontal="center" vertical="justify"/>
    </xf>
    <xf numFmtId="0" fontId="20" fillId="33" borderId="0" xfId="0" applyFont="1" applyFill="1" applyAlignment="1">
      <alignment horizontal="center" vertical="justify"/>
    </xf>
    <xf numFmtId="0" fontId="28" fillId="33" borderId="0" xfId="0" applyFont="1" applyFill="1" applyAlignment="1">
      <alignment horizontal="center"/>
    </xf>
    <xf numFmtId="0" fontId="28" fillId="33" borderId="0" xfId="0" applyFont="1" applyFill="1" applyAlignment="1">
      <alignment horizontal="center" vertical="justify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092038616465488E-2"/>
          <c:y val="9.0313416705264771E-2"/>
          <c:w val="0.87478100202509657"/>
          <c:h val="0.688104534912669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STATEMEN!$S$2</c:f>
              <c:strCache>
                <c:ptCount val="1"/>
                <c:pt idx="0">
                  <c:v>Winning Months</c:v>
                </c:pt>
              </c:strCache>
            </c:strRef>
          </c:tx>
          <c:spPr>
            <a:solidFill>
              <a:schemeClr val="tx1"/>
            </a:solidFill>
            <a:ln w="28575">
              <a:solidFill>
                <a:schemeClr val="tx1"/>
              </a:solidFill>
            </a:ln>
            <a:effectLst/>
          </c:spPr>
          <c:invertIfNegative val="0"/>
          <c:cat>
            <c:strRef>
              <c:f>STATEMEN!$R$3:$R$85</c:f>
              <c:strCache>
                <c:ptCount val="83"/>
                <c:pt idx="2">
                  <c:v>13-May</c:v>
                </c:pt>
                <c:pt idx="3">
                  <c:v>13-Jun</c:v>
                </c:pt>
                <c:pt idx="4">
                  <c:v>13-Jul</c:v>
                </c:pt>
                <c:pt idx="5">
                  <c:v>13-Aug</c:v>
                </c:pt>
                <c:pt idx="6">
                  <c:v>13-Sep</c:v>
                </c:pt>
                <c:pt idx="7">
                  <c:v>13-Oct</c:v>
                </c:pt>
                <c:pt idx="8">
                  <c:v>13-Nov</c:v>
                </c:pt>
                <c:pt idx="9">
                  <c:v>13-Dec</c:v>
                </c:pt>
                <c:pt idx="10">
                  <c:v>14-Jan</c:v>
                </c:pt>
                <c:pt idx="11">
                  <c:v>14-Feb</c:v>
                </c:pt>
                <c:pt idx="12">
                  <c:v>14-Mar</c:v>
                </c:pt>
                <c:pt idx="13">
                  <c:v>14-Apr</c:v>
                </c:pt>
                <c:pt idx="14">
                  <c:v>14-May</c:v>
                </c:pt>
                <c:pt idx="15">
                  <c:v>14-Jun</c:v>
                </c:pt>
                <c:pt idx="16">
                  <c:v>14-Jul</c:v>
                </c:pt>
                <c:pt idx="17">
                  <c:v>14-Aug</c:v>
                </c:pt>
                <c:pt idx="18">
                  <c:v>14-Sep</c:v>
                </c:pt>
                <c:pt idx="19">
                  <c:v>14-Oct</c:v>
                </c:pt>
                <c:pt idx="20">
                  <c:v>14-Nov</c:v>
                </c:pt>
                <c:pt idx="21">
                  <c:v>14-Dec</c:v>
                </c:pt>
                <c:pt idx="22">
                  <c:v>15-Jan</c:v>
                </c:pt>
                <c:pt idx="23">
                  <c:v>15-Feb</c:v>
                </c:pt>
                <c:pt idx="24">
                  <c:v>15-Mar</c:v>
                </c:pt>
                <c:pt idx="25">
                  <c:v>15-Apr</c:v>
                </c:pt>
                <c:pt idx="26">
                  <c:v>15-May</c:v>
                </c:pt>
                <c:pt idx="27">
                  <c:v>15-Jun</c:v>
                </c:pt>
                <c:pt idx="28">
                  <c:v>15-Jul</c:v>
                </c:pt>
                <c:pt idx="29">
                  <c:v>15-Aug</c:v>
                </c:pt>
                <c:pt idx="30">
                  <c:v>15-Sep</c:v>
                </c:pt>
                <c:pt idx="31">
                  <c:v>15-Oct</c:v>
                </c:pt>
                <c:pt idx="32">
                  <c:v>15-Nov</c:v>
                </c:pt>
                <c:pt idx="33">
                  <c:v>15-Dec</c:v>
                </c:pt>
                <c:pt idx="34">
                  <c:v>16-Jan</c:v>
                </c:pt>
                <c:pt idx="35">
                  <c:v>16-Feb</c:v>
                </c:pt>
                <c:pt idx="36">
                  <c:v>16-Mar</c:v>
                </c:pt>
                <c:pt idx="37">
                  <c:v>16-Apr</c:v>
                </c:pt>
                <c:pt idx="38">
                  <c:v>16-May</c:v>
                </c:pt>
                <c:pt idx="39">
                  <c:v>16-Jun</c:v>
                </c:pt>
                <c:pt idx="40">
                  <c:v>16-Jul</c:v>
                </c:pt>
                <c:pt idx="41">
                  <c:v>16-Aug</c:v>
                </c:pt>
                <c:pt idx="42">
                  <c:v>16-Sep</c:v>
                </c:pt>
                <c:pt idx="43">
                  <c:v>16-Oct</c:v>
                </c:pt>
                <c:pt idx="44">
                  <c:v>16-Nov</c:v>
                </c:pt>
                <c:pt idx="45">
                  <c:v>16-Dec</c:v>
                </c:pt>
                <c:pt idx="46">
                  <c:v>17-Jan</c:v>
                </c:pt>
                <c:pt idx="47">
                  <c:v>17-Feb</c:v>
                </c:pt>
                <c:pt idx="48">
                  <c:v>17-Mar</c:v>
                </c:pt>
                <c:pt idx="49">
                  <c:v>17-Apr</c:v>
                </c:pt>
                <c:pt idx="50">
                  <c:v>17-May</c:v>
                </c:pt>
                <c:pt idx="51">
                  <c:v>17-Jun</c:v>
                </c:pt>
                <c:pt idx="52">
                  <c:v>17-Jul</c:v>
                </c:pt>
                <c:pt idx="53">
                  <c:v>17-Aug</c:v>
                </c:pt>
                <c:pt idx="54">
                  <c:v>17-Sep</c:v>
                </c:pt>
                <c:pt idx="55">
                  <c:v>17-Oct</c:v>
                </c:pt>
                <c:pt idx="56">
                  <c:v>17-Nov</c:v>
                </c:pt>
                <c:pt idx="57">
                  <c:v>17-Dec</c:v>
                </c:pt>
                <c:pt idx="58">
                  <c:v>18-Jan</c:v>
                </c:pt>
                <c:pt idx="59">
                  <c:v>18-Feb</c:v>
                </c:pt>
                <c:pt idx="60">
                  <c:v>18-Mar</c:v>
                </c:pt>
                <c:pt idx="61">
                  <c:v>18-Apr</c:v>
                </c:pt>
                <c:pt idx="62">
                  <c:v>18-May</c:v>
                </c:pt>
                <c:pt idx="63">
                  <c:v>18-Jun</c:v>
                </c:pt>
                <c:pt idx="64">
                  <c:v>18-Jul</c:v>
                </c:pt>
                <c:pt idx="65">
                  <c:v>18-Aug</c:v>
                </c:pt>
                <c:pt idx="66">
                  <c:v>18-Sep</c:v>
                </c:pt>
                <c:pt idx="67">
                  <c:v>18-Oct</c:v>
                </c:pt>
                <c:pt idx="68">
                  <c:v>18-Nov</c:v>
                </c:pt>
                <c:pt idx="69">
                  <c:v>18-Dec</c:v>
                </c:pt>
                <c:pt idx="70">
                  <c:v>19-Jan</c:v>
                </c:pt>
                <c:pt idx="71">
                  <c:v>19-Feb</c:v>
                </c:pt>
                <c:pt idx="72">
                  <c:v>19-Mar</c:v>
                </c:pt>
                <c:pt idx="73">
                  <c:v>19-Apr</c:v>
                </c:pt>
                <c:pt idx="74">
                  <c:v>19-May</c:v>
                </c:pt>
                <c:pt idx="75">
                  <c:v>19-Jun</c:v>
                </c:pt>
                <c:pt idx="76">
                  <c:v>19-Jul</c:v>
                </c:pt>
                <c:pt idx="77">
                  <c:v>19Aug</c:v>
                </c:pt>
                <c:pt idx="78">
                  <c:v>19-Sep</c:v>
                </c:pt>
                <c:pt idx="79">
                  <c:v>19-Oct</c:v>
                </c:pt>
                <c:pt idx="80">
                  <c:v>19-Nov</c:v>
                </c:pt>
                <c:pt idx="81">
                  <c:v>19-Dec</c:v>
                </c:pt>
                <c:pt idx="82">
                  <c:v>20-Jan</c:v>
                </c:pt>
              </c:strCache>
            </c:strRef>
          </c:cat>
          <c:val>
            <c:numRef>
              <c:f>STATEMEN!$S$3:$S$128</c:f>
              <c:numCache>
                <c:formatCode>General</c:formatCode>
                <c:ptCount val="126"/>
                <c:pt idx="2" formatCode="&quot;$&quot;#,##0.00_);[Red]\(&quot;$&quot;#,##0.00\)">
                  <c:v>6734</c:v>
                </c:pt>
                <c:pt idx="3" formatCode="&quot;$&quot;#,##0.00_);[Red]\(&quot;$&quot;#,##0.00\)">
                  <c:v>8288</c:v>
                </c:pt>
                <c:pt idx="8" formatCode="&quot;$&quot;#,##0.00_);[Red]\(&quot;$&quot;#,##0.00\)">
                  <c:v>4746.5820000000003</c:v>
                </c:pt>
                <c:pt idx="9" formatCode="&quot;$&quot;#,##0.00_);[Red]\(&quot;$&quot;#,##0.00\)">
                  <c:v>2849</c:v>
                </c:pt>
                <c:pt idx="11" formatCode="&quot;$&quot;#,##0.00_);[Red]\(&quot;$&quot;#,##0.00\)">
                  <c:v>5392.75</c:v>
                </c:pt>
                <c:pt idx="14" formatCode="&quot;$&quot;#,##0.00_);[Red]\(&quot;$&quot;#,##0.00\)">
                  <c:v>2408.1820000000002</c:v>
                </c:pt>
                <c:pt idx="15" formatCode="&quot;$&quot;#,##0.00_);[Red]\(&quot;$&quot;#,##0.00\)">
                  <c:v>2894.4063999999998</c:v>
                </c:pt>
                <c:pt idx="18" formatCode="&quot;$&quot;#,##0.00_);[Red]\(&quot;$&quot;#,##0.00\)">
                  <c:v>3737.1554000000001</c:v>
                </c:pt>
                <c:pt idx="19" formatCode="&quot;$&quot;#,##0.00_);[Red]\(&quot;$&quot;#,##0.00\)">
                  <c:v>2599.25</c:v>
                </c:pt>
                <c:pt idx="21" formatCode="&quot;$&quot;#,##0.00_);[Red]\(&quot;$&quot;#,##0.00\)">
                  <c:v>1387.9736</c:v>
                </c:pt>
                <c:pt idx="22" formatCode="&quot;$&quot;#,##0.00_);[Red]\(&quot;$&quot;#,##0.00\)">
                  <c:v>1914.8683999999998</c:v>
                </c:pt>
                <c:pt idx="23" formatCode="&quot;$&quot;#,##0.00_);[Red]\(&quot;$&quot;#,##0.00\)">
                  <c:v>8075.25</c:v>
                </c:pt>
                <c:pt idx="24" formatCode="&quot;$&quot;#,##0.00_);[Red]\(&quot;$&quot;#,##0.00\)">
                  <c:v>5064.375</c:v>
                </c:pt>
                <c:pt idx="25" formatCode="&quot;$&quot;#,##0.00_);[Red]\(&quot;$&quot;#,##0.00\)">
                  <c:v>1447.625</c:v>
                </c:pt>
                <c:pt idx="26" formatCode="&quot;$&quot;#,##0.00_);[Red]\(&quot;$&quot;#,##0.00\)">
                  <c:v>1567.875</c:v>
                </c:pt>
                <c:pt idx="28" formatCode="&quot;$&quot;#,##0.00_);[Red]\(&quot;$&quot;#,##0.00\)">
                  <c:v>7141</c:v>
                </c:pt>
                <c:pt idx="29" formatCode="&quot;$&quot;#,##0.00_);[Red]\(&quot;$&quot;#,##0.00\)">
                  <c:v>1207.125</c:v>
                </c:pt>
                <c:pt idx="32" formatCode="&quot;$&quot;#,##0.00_);[Red]\(&quot;$&quot;#,##0.00\)">
                  <c:v>6077.2869999999994</c:v>
                </c:pt>
                <c:pt idx="34" formatCode="&quot;$&quot;#,##0.00_);[Red]\(&quot;$&quot;#,##0.00\)">
                  <c:v>9379.8773999999994</c:v>
                </c:pt>
                <c:pt idx="35" formatCode="&quot;$&quot;#,##0.00_);[Red]\(&quot;$&quot;#,##0.00\)">
                  <c:v>7703.6293999999998</c:v>
                </c:pt>
                <c:pt idx="36" formatCode="&quot;$&quot;#,##0.00_);[Red]\(&quot;$&quot;#,##0.00\)">
                  <c:v>1125.7731000000001</c:v>
                </c:pt>
                <c:pt idx="37" formatCode="&quot;$&quot;#,##0.00_);[Red]\(&quot;$&quot;#,##0.00\)">
                  <c:v>2673.8049999999998</c:v>
                </c:pt>
                <c:pt idx="39" formatCode="&quot;$&quot;#,##0.00_);[Red]\(&quot;$&quot;#,##0.00\)">
                  <c:v>4634.3240000000005</c:v>
                </c:pt>
                <c:pt idx="44" formatCode="&quot;$&quot;#,##0.00_);[Red]\(&quot;$&quot;#,##0.00\)">
                  <c:v>9934.5</c:v>
                </c:pt>
                <c:pt idx="45" formatCode="&quot;$&quot;#,##0.00_);[Red]\(&quot;$&quot;#,##0.00\)">
                  <c:v>1616.4337999999998</c:v>
                </c:pt>
                <c:pt idx="46" formatCode="&quot;$&quot;#,##0.00_);[Red]\(&quot;$&quot;#,##0.00\)">
                  <c:v>3903.5</c:v>
                </c:pt>
                <c:pt idx="47" formatCode="&quot;$&quot;#,##0.00_);[Red]\(&quot;$&quot;#,##0.00\)">
                  <c:v>2865.1985999999997</c:v>
                </c:pt>
                <c:pt idx="53" formatCode="&quot;$&quot;#,##0.00_);[Red]\(&quot;$&quot;#,##0.00\)">
                  <c:v>6032.85</c:v>
                </c:pt>
                <c:pt idx="55" formatCode="&quot;$&quot;#,##0.00_);[Red]\(&quot;$&quot;#,##0.00\)">
                  <c:v>3196.5928000000004</c:v>
                </c:pt>
                <c:pt idx="56" formatCode="&quot;$&quot;#,##0.00_);[Red]\(&quot;$&quot;#,##0.00\)">
                  <c:v>2887.2950000000001</c:v>
                </c:pt>
                <c:pt idx="57" formatCode="&quot;$&quot;#,##0.00_);[Red]\(&quot;$&quot;#,##0.00\)">
                  <c:v>2916.5027999999998</c:v>
                </c:pt>
                <c:pt idx="63" formatCode="&quot;$&quot;#,##0.00_);[Red]\(&quot;$&quot;#,##0.00\)">
                  <c:v>3797.7096000000001</c:v>
                </c:pt>
                <c:pt idx="64" formatCode="&quot;$&quot;#,##0.00_);[Red]\(&quot;$&quot;#,##0.00\)">
                  <c:v>1942.7293999999999</c:v>
                </c:pt>
                <c:pt idx="65" formatCode="&quot;$&quot;#,##0.00_);[Red]\(&quot;$&quot;#,##0.00\)">
                  <c:v>2600.3969999999999</c:v>
                </c:pt>
                <c:pt idx="67" formatCode="&quot;$&quot;#,##0.00_);[Red]\(&quot;$&quot;#,##0.00\)">
                  <c:v>930.55</c:v>
                </c:pt>
                <c:pt idx="68" formatCode="&quot;$&quot;#,##0.00_);[Red]\(&quot;$&quot;#,##0.00\)">
                  <c:v>1728.27</c:v>
                </c:pt>
                <c:pt idx="69" formatCode="&quot;$&quot;#,##0.00_);[Red]\(&quot;$&quot;#,##0.00\)">
                  <c:v>6627.2475999999997</c:v>
                </c:pt>
                <c:pt idx="70" formatCode="&quot;$&quot;#,##0.00_);[Red]\(&quot;$&quot;#,##0.00\)">
                  <c:v>2687.125</c:v>
                </c:pt>
                <c:pt idx="71" formatCode="&quot;$&quot;#,##0.00_);[Red]\(&quot;$&quot;#,##0.00\)">
                  <c:v>1739.1110000000001</c:v>
                </c:pt>
                <c:pt idx="75" formatCode="&quot;$&quot;#,##0.00_);[Red]\(&quot;$&quot;#,##0.00\)">
                  <c:v>7215.9989999999998</c:v>
                </c:pt>
                <c:pt idx="76" formatCode="&quot;$&quot;#,##0.00_);[Red]\(&quot;$&quot;#,##0.00\)">
                  <c:v>1877.6537999999998</c:v>
                </c:pt>
                <c:pt idx="77" formatCode="&quot;$&quot;#,##0.00_);[Red]\(&quot;$&quot;#,##0.00\)">
                  <c:v>9088.4061999999994</c:v>
                </c:pt>
                <c:pt idx="79" formatCode="&quot;$&quot;#,##0.00_);[Red]\(&quot;$&quot;#,##0.00\)">
                  <c:v>1097.8973000000001</c:v>
                </c:pt>
                <c:pt idx="80" formatCode="&quot;$&quot;#,##0.00_);[Red]\(&quot;$&quot;#,##0.00\)">
                  <c:v>1012.5197999999999</c:v>
                </c:pt>
                <c:pt idx="81" formatCode="&quot;$&quot;#,##0.00_);[Red]\(&quot;$&quot;#,##0.00\)">
                  <c:v>1478.0834</c:v>
                </c:pt>
                <c:pt idx="82" formatCode="&quot;$&quot;#,##0.00_);[Red]\(&quot;$&quot;#,##0.00\)">
                  <c:v>4031.7198000000003</c:v>
                </c:pt>
                <c:pt idx="83" formatCode="&quot;$&quot;#,##0.00_);[Red]\(&quot;$&quot;#,##0.00\)">
                  <c:v>2579.7066</c:v>
                </c:pt>
                <c:pt idx="84" formatCode="&quot;$&quot;#,##0.00_);[Red]\(&quot;$&quot;#,##0.00\)">
                  <c:v>1851.3837999999998</c:v>
                </c:pt>
                <c:pt idx="85" formatCode="&quot;$&quot;#,##0.00_);[Red]\(&quot;$&quot;#,##0.00\)">
                  <c:v>1011.2914</c:v>
                </c:pt>
                <c:pt idx="86" formatCode="&quot;$&quot;#,##0.00_);[Red]\(&quot;$&quot;#,##0.00\)">
                  <c:v>978.75</c:v>
                </c:pt>
                <c:pt idx="87" formatCode="&quot;$&quot;#,##0.00_);[Red]\(&quot;$&quot;#,##0.00\)">
                  <c:v>164.5</c:v>
                </c:pt>
                <c:pt idx="88" formatCode="&quot;$&quot;#,##0.00_);[Red]\(&quot;$&quot;#,##0.00\)">
                  <c:v>12137.35</c:v>
                </c:pt>
                <c:pt idx="89" formatCode="&quot;$&quot;#,##0.00_);[Red]\(&quot;$&quot;#,##0.00\)">
                  <c:v>1732.94</c:v>
                </c:pt>
                <c:pt idx="92" formatCode="&quot;$&quot;#,##0.00_);[Red]\(&quot;$&quot;#,##0.00\)">
                  <c:v>0</c:v>
                </c:pt>
                <c:pt idx="93" formatCode="&quot;$&quot;#,##0.00_);[Red]\(&quot;$&quot;#,##0.00\)">
                  <c:v>1896.51</c:v>
                </c:pt>
                <c:pt idx="95" formatCode="&quot;$&quot;#,##0.00_);[Red]\(&quot;$&quot;#,##0.00\)">
                  <c:v>1708.25</c:v>
                </c:pt>
                <c:pt idx="96" formatCode="&quot;$&quot;#,##0.00_);[Red]\(&quot;$&quot;#,##0.00\)">
                  <c:v>2601.87</c:v>
                </c:pt>
                <c:pt idx="98" formatCode="&quot;$&quot;#,##0.00_);[Red]\(&quot;$&quot;#,##0.00\)">
                  <c:v>6750.5</c:v>
                </c:pt>
                <c:pt idx="99" formatCode="&quot;$&quot;#,##0.00_);[Red]\(&quot;$&quot;#,##0.00\)">
                  <c:v>1779.1</c:v>
                </c:pt>
                <c:pt idx="100" formatCode="&quot;$&quot;#,##0.00_);[Red]\(&quot;$&quot;#,##0.00\)">
                  <c:v>1620.5</c:v>
                </c:pt>
                <c:pt idx="102" formatCode="&quot;$&quot;#,##0.00_);[Red]\(&quot;$&quot;#,##0.00\)">
                  <c:v>697.2</c:v>
                </c:pt>
                <c:pt idx="103" formatCode="&quot;$&quot;#,##0.00_);[Red]\(&quot;$&quot;#,##0.00\)">
                  <c:v>787.5</c:v>
                </c:pt>
                <c:pt idx="104" formatCode="&quot;$&quot;#,##0.00_);[Red]\(&quot;$&quot;#,##0.00\)">
                  <c:v>1133.1500000000001</c:v>
                </c:pt>
                <c:pt idx="105" formatCode="&quot;$&quot;#,##0.00_);[Red]\(&quot;$&quot;#,##0.00\)">
                  <c:v>251.2</c:v>
                </c:pt>
                <c:pt idx="107" formatCode="&quot;$&quot;#,##0.00_);[Red]\(&quot;$&quot;#,##0.00\)">
                  <c:v>150.55000000000001</c:v>
                </c:pt>
                <c:pt idx="108" formatCode="&quot;$&quot;#,##0.00_);[Red]\(&quot;$&quot;#,##0.00\)">
                  <c:v>3805.5</c:v>
                </c:pt>
                <c:pt idx="109" formatCode="&quot;$&quot;#,##0.00_);[Red]\(&quot;$&quot;#,##0.00\)">
                  <c:v>2541.375</c:v>
                </c:pt>
                <c:pt idx="110" formatCode="&quot;$&quot;#,##0.00_);[Red]\(&quot;$&quot;#,##0.00\)">
                  <c:v>4710.5</c:v>
                </c:pt>
                <c:pt idx="111" formatCode="&quot;$&quot;#,##0.00_);[Red]\(&quot;$&quot;#,##0.00\)">
                  <c:v>7290.2</c:v>
                </c:pt>
                <c:pt idx="112" formatCode="&quot;$&quot;#,##0.00_);[Red]\(&quot;$&quot;#,##0.00\)">
                  <c:v>3528.5</c:v>
                </c:pt>
                <c:pt idx="113" formatCode="&quot;$&quot;#,##0.00_);[Red]\(&quot;$&quot;#,##0.00\)">
                  <c:v>969.7</c:v>
                </c:pt>
                <c:pt idx="114" formatCode="&quot;$&quot;#,##0.00_);[Red]\(&quot;$&quot;#,##0.00\)">
                  <c:v>720.5</c:v>
                </c:pt>
                <c:pt idx="116" formatCode="&quot;$&quot;#,##0.00_);[Red]\(&quot;$&quot;#,##0.00\)">
                  <c:v>4179.6499999999996</c:v>
                </c:pt>
                <c:pt idx="117" formatCode="&quot;$&quot;#,##0.00_);[Red]\(&quot;$&quot;#,##0.00\)">
                  <c:v>6846.25</c:v>
                </c:pt>
                <c:pt idx="118" formatCode="&quot;$&quot;#,##0.00_);[Red]\(&quot;$&quot;#,##0.00\)">
                  <c:v>11637.12</c:v>
                </c:pt>
                <c:pt idx="119" formatCode="&quot;$&quot;#,##0.00_);[Red]\(&quot;$&quot;#,##0.00\)">
                  <c:v>3042.375</c:v>
                </c:pt>
                <c:pt idx="120" formatCode="&quot;$&quot;#,##0.00_);[Red]\(&quot;$&quot;#,##0.00\)">
                  <c:v>4188</c:v>
                </c:pt>
                <c:pt idx="121" formatCode="&quot;$&quot;#,##0.00_);[Red]\(&quot;$&quot;#,##0.00\)">
                  <c:v>149.19999999999999</c:v>
                </c:pt>
                <c:pt idx="122" formatCode="&quot;$&quot;#,##0.00_);[Red]\(&quot;$&quot;#,##0.00\)">
                  <c:v>2604.5</c:v>
                </c:pt>
                <c:pt idx="124" formatCode="&quot;$&quot;#,##0.00_);[Red]\(&quot;$&quot;#,##0.00\)">
                  <c:v>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59-42BD-AEFE-4E0246C8A722}"/>
            </c:ext>
          </c:extLst>
        </c:ser>
        <c:ser>
          <c:idx val="1"/>
          <c:order val="1"/>
          <c:tx>
            <c:strRef>
              <c:f>STATEMEN!$T$2</c:f>
              <c:strCache>
                <c:ptCount val="1"/>
                <c:pt idx="0">
                  <c:v>Losing Months</c:v>
                </c:pt>
              </c:strCache>
            </c:strRef>
          </c:tx>
          <c:spPr>
            <a:solidFill>
              <a:srgbClr val="FF0000"/>
            </a:solidFill>
            <a:ln w="28575">
              <a:solidFill>
                <a:srgbClr val="FF0000"/>
              </a:solidFill>
            </a:ln>
            <a:effectLst/>
          </c:spPr>
          <c:invertIfNegative val="0"/>
          <c:cat>
            <c:strRef>
              <c:f>STATEMEN!$R$3:$R$85</c:f>
              <c:strCache>
                <c:ptCount val="83"/>
                <c:pt idx="2">
                  <c:v>13-May</c:v>
                </c:pt>
                <c:pt idx="3">
                  <c:v>13-Jun</c:v>
                </c:pt>
                <c:pt idx="4">
                  <c:v>13-Jul</c:v>
                </c:pt>
                <c:pt idx="5">
                  <c:v>13-Aug</c:v>
                </c:pt>
                <c:pt idx="6">
                  <c:v>13-Sep</c:v>
                </c:pt>
                <c:pt idx="7">
                  <c:v>13-Oct</c:v>
                </c:pt>
                <c:pt idx="8">
                  <c:v>13-Nov</c:v>
                </c:pt>
                <c:pt idx="9">
                  <c:v>13-Dec</c:v>
                </c:pt>
                <c:pt idx="10">
                  <c:v>14-Jan</c:v>
                </c:pt>
                <c:pt idx="11">
                  <c:v>14-Feb</c:v>
                </c:pt>
                <c:pt idx="12">
                  <c:v>14-Mar</c:v>
                </c:pt>
                <c:pt idx="13">
                  <c:v>14-Apr</c:v>
                </c:pt>
                <c:pt idx="14">
                  <c:v>14-May</c:v>
                </c:pt>
                <c:pt idx="15">
                  <c:v>14-Jun</c:v>
                </c:pt>
                <c:pt idx="16">
                  <c:v>14-Jul</c:v>
                </c:pt>
                <c:pt idx="17">
                  <c:v>14-Aug</c:v>
                </c:pt>
                <c:pt idx="18">
                  <c:v>14-Sep</c:v>
                </c:pt>
                <c:pt idx="19">
                  <c:v>14-Oct</c:v>
                </c:pt>
                <c:pt idx="20">
                  <c:v>14-Nov</c:v>
                </c:pt>
                <c:pt idx="21">
                  <c:v>14-Dec</c:v>
                </c:pt>
                <c:pt idx="22">
                  <c:v>15-Jan</c:v>
                </c:pt>
                <c:pt idx="23">
                  <c:v>15-Feb</c:v>
                </c:pt>
                <c:pt idx="24">
                  <c:v>15-Mar</c:v>
                </c:pt>
                <c:pt idx="25">
                  <c:v>15-Apr</c:v>
                </c:pt>
                <c:pt idx="26">
                  <c:v>15-May</c:v>
                </c:pt>
                <c:pt idx="27">
                  <c:v>15-Jun</c:v>
                </c:pt>
                <c:pt idx="28">
                  <c:v>15-Jul</c:v>
                </c:pt>
                <c:pt idx="29">
                  <c:v>15-Aug</c:v>
                </c:pt>
                <c:pt idx="30">
                  <c:v>15-Sep</c:v>
                </c:pt>
                <c:pt idx="31">
                  <c:v>15-Oct</c:v>
                </c:pt>
                <c:pt idx="32">
                  <c:v>15-Nov</c:v>
                </c:pt>
                <c:pt idx="33">
                  <c:v>15-Dec</c:v>
                </c:pt>
                <c:pt idx="34">
                  <c:v>16-Jan</c:v>
                </c:pt>
                <c:pt idx="35">
                  <c:v>16-Feb</c:v>
                </c:pt>
                <c:pt idx="36">
                  <c:v>16-Mar</c:v>
                </c:pt>
                <c:pt idx="37">
                  <c:v>16-Apr</c:v>
                </c:pt>
                <c:pt idx="38">
                  <c:v>16-May</c:v>
                </c:pt>
                <c:pt idx="39">
                  <c:v>16-Jun</c:v>
                </c:pt>
                <c:pt idx="40">
                  <c:v>16-Jul</c:v>
                </c:pt>
                <c:pt idx="41">
                  <c:v>16-Aug</c:v>
                </c:pt>
                <c:pt idx="42">
                  <c:v>16-Sep</c:v>
                </c:pt>
                <c:pt idx="43">
                  <c:v>16-Oct</c:v>
                </c:pt>
                <c:pt idx="44">
                  <c:v>16-Nov</c:v>
                </c:pt>
                <c:pt idx="45">
                  <c:v>16-Dec</c:v>
                </c:pt>
                <c:pt idx="46">
                  <c:v>17-Jan</c:v>
                </c:pt>
                <c:pt idx="47">
                  <c:v>17-Feb</c:v>
                </c:pt>
                <c:pt idx="48">
                  <c:v>17-Mar</c:v>
                </c:pt>
                <c:pt idx="49">
                  <c:v>17-Apr</c:v>
                </c:pt>
                <c:pt idx="50">
                  <c:v>17-May</c:v>
                </c:pt>
                <c:pt idx="51">
                  <c:v>17-Jun</c:v>
                </c:pt>
                <c:pt idx="52">
                  <c:v>17-Jul</c:v>
                </c:pt>
                <c:pt idx="53">
                  <c:v>17-Aug</c:v>
                </c:pt>
                <c:pt idx="54">
                  <c:v>17-Sep</c:v>
                </c:pt>
                <c:pt idx="55">
                  <c:v>17-Oct</c:v>
                </c:pt>
                <c:pt idx="56">
                  <c:v>17-Nov</c:v>
                </c:pt>
                <c:pt idx="57">
                  <c:v>17-Dec</c:v>
                </c:pt>
                <c:pt idx="58">
                  <c:v>18-Jan</c:v>
                </c:pt>
                <c:pt idx="59">
                  <c:v>18-Feb</c:v>
                </c:pt>
                <c:pt idx="60">
                  <c:v>18-Mar</c:v>
                </c:pt>
                <c:pt idx="61">
                  <c:v>18-Apr</c:v>
                </c:pt>
                <c:pt idx="62">
                  <c:v>18-May</c:v>
                </c:pt>
                <c:pt idx="63">
                  <c:v>18-Jun</c:v>
                </c:pt>
                <c:pt idx="64">
                  <c:v>18-Jul</c:v>
                </c:pt>
                <c:pt idx="65">
                  <c:v>18-Aug</c:v>
                </c:pt>
                <c:pt idx="66">
                  <c:v>18-Sep</c:v>
                </c:pt>
                <c:pt idx="67">
                  <c:v>18-Oct</c:v>
                </c:pt>
                <c:pt idx="68">
                  <c:v>18-Nov</c:v>
                </c:pt>
                <c:pt idx="69">
                  <c:v>18-Dec</c:v>
                </c:pt>
                <c:pt idx="70">
                  <c:v>19-Jan</c:v>
                </c:pt>
                <c:pt idx="71">
                  <c:v>19-Feb</c:v>
                </c:pt>
                <c:pt idx="72">
                  <c:v>19-Mar</c:v>
                </c:pt>
                <c:pt idx="73">
                  <c:v>19-Apr</c:v>
                </c:pt>
                <c:pt idx="74">
                  <c:v>19-May</c:v>
                </c:pt>
                <c:pt idx="75">
                  <c:v>19-Jun</c:v>
                </c:pt>
                <c:pt idx="76">
                  <c:v>19-Jul</c:v>
                </c:pt>
                <c:pt idx="77">
                  <c:v>19Aug</c:v>
                </c:pt>
                <c:pt idx="78">
                  <c:v>19-Sep</c:v>
                </c:pt>
                <c:pt idx="79">
                  <c:v>19-Oct</c:v>
                </c:pt>
                <c:pt idx="80">
                  <c:v>19-Nov</c:v>
                </c:pt>
                <c:pt idx="81">
                  <c:v>19-Dec</c:v>
                </c:pt>
                <c:pt idx="82">
                  <c:v>20-Jan</c:v>
                </c:pt>
              </c:strCache>
            </c:strRef>
          </c:cat>
          <c:val>
            <c:numRef>
              <c:f>STATEMEN!$T$3:$T$128</c:f>
              <c:numCache>
                <c:formatCode>General</c:formatCode>
                <c:ptCount val="126"/>
                <c:pt idx="4" formatCode="&quot;$&quot;#,##0.00_);[Red]\(&quot;$&quot;#,##0.00\)">
                  <c:v>-2193.84</c:v>
                </c:pt>
                <c:pt idx="5" formatCode="&quot;$&quot;#,##0.00_);[Red]\(&quot;$&quot;#,##0.00\)">
                  <c:v>-105.072</c:v>
                </c:pt>
                <c:pt idx="6" formatCode="&quot;$&quot;#,##0.00_);[Red]\(&quot;$&quot;#,##0.00\)">
                  <c:v>-2191.86</c:v>
                </c:pt>
                <c:pt idx="7" formatCode="&quot;$&quot;#,##0.00_);[Red]\(&quot;$&quot;#,##0.00\)">
                  <c:v>-594</c:v>
                </c:pt>
                <c:pt idx="10" formatCode="&quot;$&quot;#,##0.00_);[Red]\(&quot;$&quot;#,##0.00\)">
                  <c:v>-1874.4</c:v>
                </c:pt>
                <c:pt idx="12" formatCode="&quot;$&quot;#,##0.00_);[Red]\(&quot;$&quot;#,##0.00\)">
                  <c:v>-938.76419999999996</c:v>
                </c:pt>
                <c:pt idx="13" formatCode="&quot;$&quot;#,##0.00_);[Red]\(&quot;$&quot;#,##0.00\)">
                  <c:v>-1927.2</c:v>
                </c:pt>
                <c:pt idx="16" formatCode="&quot;$&quot;#,##0.00_);[Red]\(&quot;$&quot;#,##0.00\)">
                  <c:v>-1625.91</c:v>
                </c:pt>
                <c:pt idx="17" formatCode="&quot;$&quot;#,##0.00_);[Red]\(&quot;$&quot;#,##0.00\)">
                  <c:v>-1817.7753</c:v>
                </c:pt>
                <c:pt idx="20" formatCode="&quot;$&quot;#,##0.00_);[Red]\(&quot;$&quot;#,##0.00\)">
                  <c:v>-1748.4192</c:v>
                </c:pt>
                <c:pt idx="27" formatCode="&quot;$&quot;#,##0.00_);[Red]\(&quot;$&quot;#,##0.00\)">
                  <c:v>-2062.5</c:v>
                </c:pt>
                <c:pt idx="30" formatCode="&quot;$&quot;#,##0.00_);[Red]\(&quot;$&quot;#,##0.00\)">
                  <c:v>-3042.6000000000004</c:v>
                </c:pt>
                <c:pt idx="31" formatCode="&quot;$&quot;#,##0.00_);[Red]\(&quot;$&quot;#,##0.00\)">
                  <c:v>-1009.9254000000001</c:v>
                </c:pt>
                <c:pt idx="33" formatCode="&quot;$&quot;#,##0.00_);[Red]\(&quot;$&quot;#,##0.00\)">
                  <c:v>-1027.0391999999999</c:v>
                </c:pt>
                <c:pt idx="38" formatCode="&quot;$&quot;#,##0.00_);[Red]\(&quot;$&quot;#,##0.00\)">
                  <c:v>-1681.2356</c:v>
                </c:pt>
                <c:pt idx="40" formatCode="&quot;$&quot;#,##0.00_);[Red]\(&quot;$&quot;#,##0.00\)">
                  <c:v>-1212.75</c:v>
                </c:pt>
                <c:pt idx="41" formatCode="&quot;$&quot;#,##0.00_);[Red]\(&quot;$&quot;#,##0.00\)">
                  <c:v>-2713.92</c:v>
                </c:pt>
                <c:pt idx="42" formatCode="&quot;$&quot;#,##0.00_);[Red]\(&quot;$&quot;#,##0.00\)">
                  <c:v>-1749</c:v>
                </c:pt>
                <c:pt idx="43" formatCode="&quot;$&quot;#,##0.00_);[Red]\(&quot;$&quot;#,##0.00\)">
                  <c:v>-1706.625</c:v>
                </c:pt>
                <c:pt idx="48" formatCode="&quot;$&quot;#,##0.00_);[Red]\(&quot;$&quot;#,##0.00\)">
                  <c:v>-1801.8000000000002</c:v>
                </c:pt>
                <c:pt idx="49" formatCode="&quot;$&quot;#,##0.00_);[Red]\(&quot;$&quot;#,##0.00\)">
                  <c:v>-599.94000000000005</c:v>
                </c:pt>
                <c:pt idx="50" formatCode="&quot;$&quot;#,##0.00_);[Red]\(&quot;$&quot;#,##0.00\)">
                  <c:v>-798.73200000000008</c:v>
                </c:pt>
                <c:pt idx="51" formatCode="&quot;$&quot;#,##0.00_);[Red]\(&quot;$&quot;#,##0.00\)">
                  <c:v>-185.18609999999998</c:v>
                </c:pt>
                <c:pt idx="52" formatCode="&quot;$&quot;#,##0.00_);[Red]\(&quot;$&quot;#,##0.00\)">
                  <c:v>-2018.94</c:v>
                </c:pt>
                <c:pt idx="54" formatCode="&quot;$&quot;#,##0.00_);[Red]\(&quot;$&quot;#,##0.00\)">
                  <c:v>-1728.672</c:v>
                </c:pt>
                <c:pt idx="59" formatCode="&quot;$&quot;#,##0.00_);[Red]\(&quot;$&quot;#,##0.00\)">
                  <c:v>-277.99200000000002</c:v>
                </c:pt>
                <c:pt idx="60" formatCode="&quot;$&quot;#,##0.00_);[Red]\(&quot;$&quot;#,##0.00\)">
                  <c:v>-1405.4040000000002</c:v>
                </c:pt>
                <c:pt idx="61" formatCode="&quot;$&quot;#,##0.00_);[Red]\(&quot;$&quot;#,##0.00\)">
                  <c:v>-1592.25</c:v>
                </c:pt>
                <c:pt idx="62" formatCode="&quot;$&quot;#,##0.00_);[Red]\(&quot;$&quot;#,##0.00\)">
                  <c:v>-591.74099999999999</c:v>
                </c:pt>
                <c:pt idx="66" formatCode="&quot;$&quot;#,##0.00_);[Red]\(&quot;$&quot;#,##0.00\)">
                  <c:v>-733.74699999999996</c:v>
                </c:pt>
                <c:pt idx="72" formatCode="&quot;$&quot;#,##0.00_);[Red]\(&quot;$&quot;#,##0.00\)">
                  <c:v>-1346.8652999999999</c:v>
                </c:pt>
                <c:pt idx="73" formatCode="&quot;$&quot;#,##0.00_);[Red]\(&quot;$&quot;#,##0.00\)">
                  <c:v>-1849.7622000000001</c:v>
                </c:pt>
                <c:pt idx="74" formatCode="&quot;$&quot;#,##0.00_);[Red]\(&quot;$&quot;#,##0.00\)">
                  <c:v>-344.13060000000002</c:v>
                </c:pt>
                <c:pt idx="78" formatCode="&quot;$&quot;#,##0.00_);[Red]\(&quot;$&quot;#,##0.00\)">
                  <c:v>-1581.9936</c:v>
                </c:pt>
                <c:pt idx="90" formatCode="&quot;$&quot;#,##0.00_);[Red]\(&quot;$&quot;#,##0.00\)">
                  <c:v>-2412.5</c:v>
                </c:pt>
                <c:pt idx="91" formatCode="&quot;$&quot;#,##0.00_);[Red]\(&quot;$&quot;#,##0.00\)">
                  <c:v>-907.5</c:v>
                </c:pt>
                <c:pt idx="94" formatCode="&quot;$&quot;#,##0.00_);[Red]\(&quot;$&quot;#,##0.00\)">
                  <c:v>-494.75</c:v>
                </c:pt>
                <c:pt idx="97" formatCode="&quot;$&quot;#,##0.00_);[Red]\(&quot;$&quot;#,##0.00\)">
                  <c:v>-892.5</c:v>
                </c:pt>
                <c:pt idx="101" formatCode="&quot;$&quot;#,##0.00_);[Red]\(&quot;$&quot;#,##0.00\)">
                  <c:v>-1467.25</c:v>
                </c:pt>
                <c:pt idx="106" formatCode="&quot;$&quot;#,##0.00_);[Red]\(&quot;$&quot;#,##0.00\)">
                  <c:v>-786</c:v>
                </c:pt>
                <c:pt idx="115" formatCode="&quot;$&quot;#,##0.00_);[Red]\(&quot;$&quot;#,##0.00\)">
                  <c:v>-6810.61</c:v>
                </c:pt>
                <c:pt idx="123" formatCode="&quot;$&quot;#,##0.00_);[Red]\(&quot;$&quot;#,##0.00\)">
                  <c:v>-808.25</c:v>
                </c:pt>
                <c:pt idx="125" formatCode="&quot;$&quot;#,##0.00_);[Red]\(&quot;$&quot;#,##0.00\)">
                  <c:v>-1743.25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59-42BD-AEFE-4E0246C8A7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90666704"/>
        <c:axId val="690674904"/>
      </c:barChart>
      <c:catAx>
        <c:axId val="69066670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90674904"/>
        <c:crosses val="autoZero"/>
        <c:auto val="1"/>
        <c:lblAlgn val="ctr"/>
        <c:lblOffset val="100"/>
        <c:noMultiLvlLbl val="0"/>
      </c:catAx>
      <c:valAx>
        <c:axId val="690674904"/>
        <c:scaling>
          <c:orientation val="minMax"/>
          <c:max val="15000"/>
          <c:min val="-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;[Red]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0666704"/>
        <c:crosses val="autoZero"/>
        <c:crossBetween val="between"/>
        <c:majorUnit val="3000"/>
      </c:valAx>
      <c:spPr>
        <a:pattFill prst="smGrid">
          <a:fgClr>
            <a:schemeClr val="bg1">
              <a:lumMod val="9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8372221598896706E-2"/>
          <c:y val="0.80990469730068659"/>
          <c:w val="0.8681438902065699"/>
          <c:h val="0.190095302699313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5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53801203092269"/>
          <c:y val="6.1334918947488534E-2"/>
          <c:w val="0.86045038456713585"/>
          <c:h val="0.81316430217464652"/>
        </c:manualLayout>
      </c:layout>
      <c:areaChart>
        <c:grouping val="stacked"/>
        <c:varyColors val="0"/>
        <c:ser>
          <c:idx val="0"/>
          <c:order val="0"/>
          <c:tx>
            <c:strRef>
              <c:f>STATEMEN!$Q$2</c:f>
              <c:strCache>
                <c:ptCount val="1"/>
                <c:pt idx="0">
                  <c:v>Cumulative Net Profit Trading One Unit</c:v>
                </c:pt>
              </c:strCache>
            </c:strRef>
          </c:tx>
          <c:spPr>
            <a:solidFill>
              <a:srgbClr val="002060">
                <a:alpha val="25000"/>
              </a:srgbClr>
            </a:solidFill>
            <a:ln w="25400" cmpd="dbl">
              <a:solidFill>
                <a:schemeClr val="tx1"/>
              </a:solidFill>
            </a:ln>
            <a:effectLst/>
          </c:spPr>
          <c:cat>
            <c:strRef>
              <c:f>STATEMEN!$P$5:$P$128</c:f>
              <c:strCache>
                <c:ptCount val="124"/>
                <c:pt idx="0">
                  <c:v>13-May</c:v>
                </c:pt>
                <c:pt idx="1">
                  <c:v>13-Jun</c:v>
                </c:pt>
                <c:pt idx="2">
                  <c:v>13-Jul</c:v>
                </c:pt>
                <c:pt idx="3">
                  <c:v>13-Aug</c:v>
                </c:pt>
                <c:pt idx="4">
                  <c:v>13-Sep</c:v>
                </c:pt>
                <c:pt idx="5">
                  <c:v>13-Oct</c:v>
                </c:pt>
                <c:pt idx="6">
                  <c:v>13-Nov</c:v>
                </c:pt>
                <c:pt idx="7">
                  <c:v>13-Dec</c:v>
                </c:pt>
                <c:pt idx="8">
                  <c:v>14-Jan</c:v>
                </c:pt>
                <c:pt idx="9">
                  <c:v>14-Feb</c:v>
                </c:pt>
                <c:pt idx="10">
                  <c:v>14-Mar</c:v>
                </c:pt>
                <c:pt idx="11">
                  <c:v>14-Apr</c:v>
                </c:pt>
                <c:pt idx="12">
                  <c:v>14-May</c:v>
                </c:pt>
                <c:pt idx="13">
                  <c:v>14-Jun</c:v>
                </c:pt>
                <c:pt idx="14">
                  <c:v>14-Jul</c:v>
                </c:pt>
                <c:pt idx="15">
                  <c:v>14-Aug</c:v>
                </c:pt>
                <c:pt idx="16">
                  <c:v>14-Sep</c:v>
                </c:pt>
                <c:pt idx="17">
                  <c:v>14-Oct</c:v>
                </c:pt>
                <c:pt idx="18">
                  <c:v>14-Nov</c:v>
                </c:pt>
                <c:pt idx="19">
                  <c:v>14-Dec</c:v>
                </c:pt>
                <c:pt idx="20">
                  <c:v>15-Jan</c:v>
                </c:pt>
                <c:pt idx="21">
                  <c:v>15-Feb</c:v>
                </c:pt>
                <c:pt idx="22">
                  <c:v>15-Mar</c:v>
                </c:pt>
                <c:pt idx="23">
                  <c:v>15-Apr</c:v>
                </c:pt>
                <c:pt idx="24">
                  <c:v>15-May</c:v>
                </c:pt>
                <c:pt idx="25">
                  <c:v>15-Jun</c:v>
                </c:pt>
                <c:pt idx="26">
                  <c:v>15-Jul</c:v>
                </c:pt>
                <c:pt idx="27">
                  <c:v>15-Aug</c:v>
                </c:pt>
                <c:pt idx="28">
                  <c:v>15-Sep</c:v>
                </c:pt>
                <c:pt idx="29">
                  <c:v>15-Oct</c:v>
                </c:pt>
                <c:pt idx="30">
                  <c:v>15-Nov</c:v>
                </c:pt>
                <c:pt idx="31">
                  <c:v>15-Dec</c:v>
                </c:pt>
                <c:pt idx="32">
                  <c:v>16-Jan</c:v>
                </c:pt>
                <c:pt idx="33">
                  <c:v>16-Feb</c:v>
                </c:pt>
                <c:pt idx="34">
                  <c:v>16-Mar</c:v>
                </c:pt>
                <c:pt idx="35">
                  <c:v>16-Apr</c:v>
                </c:pt>
                <c:pt idx="36">
                  <c:v>16-May</c:v>
                </c:pt>
                <c:pt idx="37">
                  <c:v>16-Jun</c:v>
                </c:pt>
                <c:pt idx="38">
                  <c:v>16-Jul</c:v>
                </c:pt>
                <c:pt idx="39">
                  <c:v>16-Aug</c:v>
                </c:pt>
                <c:pt idx="40">
                  <c:v>16-Sep</c:v>
                </c:pt>
                <c:pt idx="41">
                  <c:v>16-Oct</c:v>
                </c:pt>
                <c:pt idx="42">
                  <c:v>16-Nov</c:v>
                </c:pt>
                <c:pt idx="43">
                  <c:v>16-Dec</c:v>
                </c:pt>
                <c:pt idx="44">
                  <c:v>17-Jan</c:v>
                </c:pt>
                <c:pt idx="45">
                  <c:v>17-Feb</c:v>
                </c:pt>
                <c:pt idx="46">
                  <c:v>17-Mar</c:v>
                </c:pt>
                <c:pt idx="47">
                  <c:v>17-Apr</c:v>
                </c:pt>
                <c:pt idx="48">
                  <c:v>17-May</c:v>
                </c:pt>
                <c:pt idx="49">
                  <c:v>17-Jun</c:v>
                </c:pt>
                <c:pt idx="50">
                  <c:v>17-Jul</c:v>
                </c:pt>
                <c:pt idx="51">
                  <c:v>17-Aug</c:v>
                </c:pt>
                <c:pt idx="52">
                  <c:v>17-Sep</c:v>
                </c:pt>
                <c:pt idx="53">
                  <c:v>17-Oct</c:v>
                </c:pt>
                <c:pt idx="54">
                  <c:v>17-Nov</c:v>
                </c:pt>
                <c:pt idx="55">
                  <c:v>17-Dec</c:v>
                </c:pt>
                <c:pt idx="56">
                  <c:v>18-Jan</c:v>
                </c:pt>
                <c:pt idx="57">
                  <c:v>18-Feb</c:v>
                </c:pt>
                <c:pt idx="58">
                  <c:v>18-Mar</c:v>
                </c:pt>
                <c:pt idx="59">
                  <c:v>18-Apr</c:v>
                </c:pt>
                <c:pt idx="60">
                  <c:v>18-May</c:v>
                </c:pt>
                <c:pt idx="61">
                  <c:v>18-Jun</c:v>
                </c:pt>
                <c:pt idx="62">
                  <c:v>18-Jul</c:v>
                </c:pt>
                <c:pt idx="63">
                  <c:v>18-Aug</c:v>
                </c:pt>
                <c:pt idx="64">
                  <c:v>18-Sep</c:v>
                </c:pt>
                <c:pt idx="65">
                  <c:v>18-Oct</c:v>
                </c:pt>
                <c:pt idx="66">
                  <c:v>18-Nov</c:v>
                </c:pt>
                <c:pt idx="67">
                  <c:v>18-Dec</c:v>
                </c:pt>
                <c:pt idx="68">
                  <c:v>19-Jan</c:v>
                </c:pt>
                <c:pt idx="69">
                  <c:v>19-Feb</c:v>
                </c:pt>
                <c:pt idx="70">
                  <c:v>19-Mar</c:v>
                </c:pt>
                <c:pt idx="71">
                  <c:v>19-Apr</c:v>
                </c:pt>
                <c:pt idx="72">
                  <c:v>19-May</c:v>
                </c:pt>
                <c:pt idx="73">
                  <c:v>19-Jun</c:v>
                </c:pt>
                <c:pt idx="74">
                  <c:v>19-Jul</c:v>
                </c:pt>
                <c:pt idx="75">
                  <c:v>19Aug</c:v>
                </c:pt>
                <c:pt idx="76">
                  <c:v>19-Sep</c:v>
                </c:pt>
                <c:pt idx="77">
                  <c:v>19-Oct</c:v>
                </c:pt>
                <c:pt idx="78">
                  <c:v>19-Nov</c:v>
                </c:pt>
                <c:pt idx="79">
                  <c:v>19-Dec</c:v>
                </c:pt>
                <c:pt idx="80">
                  <c:v>20-Jan</c:v>
                </c:pt>
                <c:pt idx="81">
                  <c:v>20-Feb</c:v>
                </c:pt>
                <c:pt idx="82">
                  <c:v>20-Mar</c:v>
                </c:pt>
                <c:pt idx="83">
                  <c:v>20-Apr</c:v>
                </c:pt>
                <c:pt idx="84">
                  <c:v>20-May</c:v>
                </c:pt>
                <c:pt idx="85">
                  <c:v>20-Jun</c:v>
                </c:pt>
                <c:pt idx="86">
                  <c:v>20-Jul</c:v>
                </c:pt>
                <c:pt idx="87">
                  <c:v>20-Aug</c:v>
                </c:pt>
                <c:pt idx="88">
                  <c:v>20-Sep</c:v>
                </c:pt>
                <c:pt idx="89">
                  <c:v>20-Oct</c:v>
                </c:pt>
                <c:pt idx="90">
                  <c:v>20-Nov</c:v>
                </c:pt>
                <c:pt idx="91">
                  <c:v>20-Dec</c:v>
                </c:pt>
                <c:pt idx="92">
                  <c:v>21-Jan</c:v>
                </c:pt>
                <c:pt idx="93">
                  <c:v>21-Feb</c:v>
                </c:pt>
                <c:pt idx="94">
                  <c:v>21-Mar</c:v>
                </c:pt>
                <c:pt idx="95">
                  <c:v>21-Apr</c:v>
                </c:pt>
                <c:pt idx="96">
                  <c:v>21-May</c:v>
                </c:pt>
                <c:pt idx="97">
                  <c:v>21-Jun</c:v>
                </c:pt>
                <c:pt idx="98">
                  <c:v>21-Jul</c:v>
                </c:pt>
                <c:pt idx="99">
                  <c:v>21-Aug</c:v>
                </c:pt>
                <c:pt idx="100">
                  <c:v>21-Sep</c:v>
                </c:pt>
                <c:pt idx="101">
                  <c:v>21-Oct</c:v>
                </c:pt>
                <c:pt idx="102">
                  <c:v>21-Nov</c:v>
                </c:pt>
                <c:pt idx="103">
                  <c:v>21-Dec</c:v>
                </c:pt>
                <c:pt idx="104">
                  <c:v>22-Jan</c:v>
                </c:pt>
                <c:pt idx="105">
                  <c:v>22-Feb</c:v>
                </c:pt>
                <c:pt idx="106">
                  <c:v>22-Mar</c:v>
                </c:pt>
                <c:pt idx="107">
                  <c:v>22-Apr</c:v>
                </c:pt>
                <c:pt idx="108">
                  <c:v>22-May</c:v>
                </c:pt>
                <c:pt idx="109">
                  <c:v>22-Jun</c:v>
                </c:pt>
                <c:pt idx="110">
                  <c:v>22-Jul</c:v>
                </c:pt>
                <c:pt idx="111">
                  <c:v>22-Aug</c:v>
                </c:pt>
                <c:pt idx="112">
                  <c:v>22-Sep</c:v>
                </c:pt>
                <c:pt idx="113">
                  <c:v>22-Oct</c:v>
                </c:pt>
                <c:pt idx="114">
                  <c:v>22-Nov</c:v>
                </c:pt>
                <c:pt idx="115">
                  <c:v>22-Dec</c:v>
                </c:pt>
                <c:pt idx="116">
                  <c:v>22-Jan</c:v>
                </c:pt>
                <c:pt idx="117">
                  <c:v>22-Feb</c:v>
                </c:pt>
                <c:pt idx="118">
                  <c:v>22-Mar</c:v>
                </c:pt>
                <c:pt idx="119">
                  <c:v>22-Apr</c:v>
                </c:pt>
                <c:pt idx="120">
                  <c:v>22-May</c:v>
                </c:pt>
                <c:pt idx="121">
                  <c:v>22-Jun</c:v>
                </c:pt>
                <c:pt idx="122">
                  <c:v>22-Jul</c:v>
                </c:pt>
                <c:pt idx="123">
                  <c:v>22-Aug</c:v>
                </c:pt>
              </c:strCache>
            </c:strRef>
          </c:cat>
          <c:val>
            <c:numRef>
              <c:f>STATEMEN!$Q$6:$Q$128</c:f>
              <c:numCache>
                <c:formatCode>"$"#,##0.00_);[Red]\("$"#,##0.00\)</c:formatCode>
                <c:ptCount val="123"/>
                <c:pt idx="0">
                  <c:v>15022</c:v>
                </c:pt>
                <c:pt idx="1">
                  <c:v>12828.16</c:v>
                </c:pt>
                <c:pt idx="2">
                  <c:v>12723.088</c:v>
                </c:pt>
                <c:pt idx="3">
                  <c:v>10531.227999999999</c:v>
                </c:pt>
                <c:pt idx="4">
                  <c:v>9937.2279999999992</c:v>
                </c:pt>
                <c:pt idx="5">
                  <c:v>14683.81</c:v>
                </c:pt>
                <c:pt idx="6">
                  <c:v>17532.809999999998</c:v>
                </c:pt>
                <c:pt idx="7">
                  <c:v>15658.409999999998</c:v>
                </c:pt>
                <c:pt idx="8">
                  <c:v>21051.159999999996</c:v>
                </c:pt>
                <c:pt idx="9">
                  <c:v>20112.395799999995</c:v>
                </c:pt>
                <c:pt idx="10">
                  <c:v>18185.195799999994</c:v>
                </c:pt>
                <c:pt idx="11">
                  <c:v>20593.377799999995</c:v>
                </c:pt>
                <c:pt idx="12">
                  <c:v>23487.784199999995</c:v>
                </c:pt>
                <c:pt idx="13">
                  <c:v>21861.874199999995</c:v>
                </c:pt>
                <c:pt idx="14">
                  <c:v>20044.098899999994</c:v>
                </c:pt>
                <c:pt idx="15">
                  <c:v>23781.254299999993</c:v>
                </c:pt>
                <c:pt idx="16">
                  <c:v>26380.504299999993</c:v>
                </c:pt>
                <c:pt idx="17">
                  <c:v>24632.085099999993</c:v>
                </c:pt>
                <c:pt idx="18">
                  <c:v>26020.058699999994</c:v>
                </c:pt>
                <c:pt idx="19">
                  <c:v>27934.927099999994</c:v>
                </c:pt>
                <c:pt idx="20">
                  <c:v>36010.177099999994</c:v>
                </c:pt>
                <c:pt idx="21">
                  <c:v>41074.552099999994</c:v>
                </c:pt>
                <c:pt idx="22">
                  <c:v>42522.177099999994</c:v>
                </c:pt>
                <c:pt idx="23">
                  <c:v>44090.052099999994</c:v>
                </c:pt>
                <c:pt idx="24">
                  <c:v>42027.552099999994</c:v>
                </c:pt>
                <c:pt idx="25">
                  <c:v>49168.552099999994</c:v>
                </c:pt>
                <c:pt idx="26">
                  <c:v>50375.677099999994</c:v>
                </c:pt>
                <c:pt idx="27">
                  <c:v>47333.077099999995</c:v>
                </c:pt>
                <c:pt idx="28">
                  <c:v>46323.151699999995</c:v>
                </c:pt>
                <c:pt idx="29">
                  <c:v>52400.438699999992</c:v>
                </c:pt>
                <c:pt idx="30">
                  <c:v>51373.399499999992</c:v>
                </c:pt>
                <c:pt idx="31">
                  <c:v>60753.27689999999</c:v>
                </c:pt>
                <c:pt idx="32">
                  <c:v>68456.906299999988</c:v>
                </c:pt>
                <c:pt idx="33">
                  <c:v>69582.679399999994</c:v>
                </c:pt>
                <c:pt idx="34">
                  <c:v>72256.484399999987</c:v>
                </c:pt>
                <c:pt idx="35">
                  <c:v>70575.248799999987</c:v>
                </c:pt>
                <c:pt idx="36">
                  <c:v>75209.572799999994</c:v>
                </c:pt>
                <c:pt idx="37">
                  <c:v>73996.822799999994</c:v>
                </c:pt>
                <c:pt idx="38">
                  <c:v>71282.902799999996</c:v>
                </c:pt>
                <c:pt idx="39">
                  <c:v>69533.902799999996</c:v>
                </c:pt>
                <c:pt idx="40">
                  <c:v>67827.277799999996</c:v>
                </c:pt>
                <c:pt idx="41">
                  <c:v>77761.777799999996</c:v>
                </c:pt>
                <c:pt idx="42">
                  <c:v>79378.211599999995</c:v>
                </c:pt>
                <c:pt idx="43">
                  <c:v>83281.711599999995</c:v>
                </c:pt>
                <c:pt idx="44">
                  <c:v>86146.910199999998</c:v>
                </c:pt>
                <c:pt idx="45">
                  <c:v>84345.110199999996</c:v>
                </c:pt>
                <c:pt idx="46">
                  <c:v>83745.170199999993</c:v>
                </c:pt>
                <c:pt idx="47">
                  <c:v>82946.43819999999</c:v>
                </c:pt>
                <c:pt idx="48">
                  <c:v>82761.252099999983</c:v>
                </c:pt>
                <c:pt idx="49">
                  <c:v>80742.312099999981</c:v>
                </c:pt>
                <c:pt idx="50">
                  <c:v>86775.162099999987</c:v>
                </c:pt>
                <c:pt idx="51">
                  <c:v>85046.490099999981</c:v>
                </c:pt>
                <c:pt idx="52">
                  <c:v>88243.082899999979</c:v>
                </c:pt>
                <c:pt idx="53">
                  <c:v>91130.377899999978</c:v>
                </c:pt>
                <c:pt idx="54">
                  <c:v>94046.88069999998</c:v>
                </c:pt>
                <c:pt idx="55">
                  <c:v>96915.446299999981</c:v>
                </c:pt>
                <c:pt idx="56">
                  <c:v>96637.454299999983</c:v>
                </c:pt>
                <c:pt idx="57">
                  <c:v>95232.050299999988</c:v>
                </c:pt>
                <c:pt idx="58">
                  <c:v>93639.800299999988</c:v>
                </c:pt>
                <c:pt idx="59">
                  <c:v>93048.059299999994</c:v>
                </c:pt>
                <c:pt idx="60">
                  <c:v>96845.768899999995</c:v>
                </c:pt>
                <c:pt idx="61">
                  <c:v>98788.498299999992</c:v>
                </c:pt>
                <c:pt idx="62">
                  <c:v>101388.89529999999</c:v>
                </c:pt>
                <c:pt idx="63">
                  <c:v>100655.14829999999</c:v>
                </c:pt>
                <c:pt idx="64">
                  <c:v>101585.69829999999</c:v>
                </c:pt>
                <c:pt idx="65">
                  <c:v>103313.96829999999</c:v>
                </c:pt>
                <c:pt idx="66">
                  <c:v>109941.2159</c:v>
                </c:pt>
                <c:pt idx="67">
                  <c:v>112628.3409</c:v>
                </c:pt>
                <c:pt idx="68">
                  <c:v>114367.4519</c:v>
                </c:pt>
                <c:pt idx="69">
                  <c:v>113020.5866</c:v>
                </c:pt>
                <c:pt idx="70">
                  <c:v>111170.8244</c:v>
                </c:pt>
                <c:pt idx="71">
                  <c:v>110826.69379999999</c:v>
                </c:pt>
                <c:pt idx="72">
                  <c:v>118042.69279999999</c:v>
                </c:pt>
                <c:pt idx="73">
                  <c:v>119920.34659999999</c:v>
                </c:pt>
                <c:pt idx="74">
                  <c:v>129008.75279999999</c:v>
                </c:pt>
                <c:pt idx="75">
                  <c:v>127426.75919999999</c:v>
                </c:pt>
                <c:pt idx="76">
                  <c:v>130106.65009999998</c:v>
                </c:pt>
                <c:pt idx="77">
                  <c:v>130021.27259999998</c:v>
                </c:pt>
                <c:pt idx="78">
                  <c:v>131499.35599999997</c:v>
                </c:pt>
                <c:pt idx="79">
                  <c:v>135531.07579999996</c:v>
                </c:pt>
                <c:pt idx="80">
                  <c:v>138110.78239999997</c:v>
                </c:pt>
                <c:pt idx="81">
                  <c:v>139962.16619999998</c:v>
                </c:pt>
                <c:pt idx="82">
                  <c:v>140973.45759999997</c:v>
                </c:pt>
                <c:pt idx="83">
                  <c:v>141952.20759999997</c:v>
                </c:pt>
                <c:pt idx="84">
                  <c:v>142116.70759999997</c:v>
                </c:pt>
                <c:pt idx="85">
                  <c:v>154254.05759999997</c:v>
                </c:pt>
                <c:pt idx="86">
                  <c:v>155986.99759999997</c:v>
                </c:pt>
                <c:pt idx="87">
                  <c:v>153574.49759999997</c:v>
                </c:pt>
                <c:pt idx="88">
                  <c:v>152666.99759999997</c:v>
                </c:pt>
                <c:pt idx="89">
                  <c:v>152666.99759999997</c:v>
                </c:pt>
                <c:pt idx="90">
                  <c:v>154563.50759999998</c:v>
                </c:pt>
                <c:pt idx="91">
                  <c:v>154068.75759999998</c:v>
                </c:pt>
                <c:pt idx="92">
                  <c:v>155777.00759999998</c:v>
                </c:pt>
                <c:pt idx="93">
                  <c:v>158378.87759999998</c:v>
                </c:pt>
                <c:pt idx="94">
                  <c:v>157486.37759999998</c:v>
                </c:pt>
                <c:pt idx="95">
                  <c:v>164236.87759999998</c:v>
                </c:pt>
                <c:pt idx="96">
                  <c:v>166015.97759999998</c:v>
                </c:pt>
                <c:pt idx="97">
                  <c:v>167636.47759999998</c:v>
                </c:pt>
                <c:pt idx="98">
                  <c:v>166169.22759999998</c:v>
                </c:pt>
                <c:pt idx="99">
                  <c:v>166866.4276</c:v>
                </c:pt>
                <c:pt idx="100">
                  <c:v>167653.9276</c:v>
                </c:pt>
                <c:pt idx="101">
                  <c:v>168787.07759999999</c:v>
                </c:pt>
                <c:pt idx="102">
                  <c:v>169038.2776</c:v>
                </c:pt>
                <c:pt idx="103">
                  <c:v>168252.2776</c:v>
                </c:pt>
                <c:pt idx="104">
                  <c:v>168402.82759999999</c:v>
                </c:pt>
                <c:pt idx="105">
                  <c:v>172208.32759999999</c:v>
                </c:pt>
                <c:pt idx="106">
                  <c:v>174749.70259999999</c:v>
                </c:pt>
                <c:pt idx="107">
                  <c:v>179460.20259999999</c:v>
                </c:pt>
                <c:pt idx="108">
                  <c:v>186750.4026</c:v>
                </c:pt>
                <c:pt idx="109">
                  <c:v>190278.9026</c:v>
                </c:pt>
                <c:pt idx="110">
                  <c:v>191248.60260000001</c:v>
                </c:pt>
                <c:pt idx="111">
                  <c:v>191969.10260000001</c:v>
                </c:pt>
                <c:pt idx="112">
                  <c:v>185158.49260000003</c:v>
                </c:pt>
                <c:pt idx="113">
                  <c:v>189338.14260000002</c:v>
                </c:pt>
                <c:pt idx="114">
                  <c:v>196184.39260000002</c:v>
                </c:pt>
                <c:pt idx="115">
                  <c:v>207821.51260000002</c:v>
                </c:pt>
                <c:pt idx="116">
                  <c:v>210863.88760000002</c:v>
                </c:pt>
                <c:pt idx="117">
                  <c:v>215051.88760000002</c:v>
                </c:pt>
                <c:pt idx="118">
                  <c:v>215201.08760000003</c:v>
                </c:pt>
                <c:pt idx="119">
                  <c:v>217805.58760000003</c:v>
                </c:pt>
                <c:pt idx="120">
                  <c:v>216997.33760000003</c:v>
                </c:pt>
                <c:pt idx="121">
                  <c:v>217290.33760000003</c:v>
                </c:pt>
                <c:pt idx="122">
                  <c:v>215547.08760000003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F7-48DA-99EA-C11EED0DC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2637904"/>
        <c:axId val="213257920"/>
      </c:areaChart>
      <c:catAx>
        <c:axId val="222637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257920"/>
        <c:crosses val="autoZero"/>
        <c:auto val="1"/>
        <c:lblAlgn val="ctr"/>
        <c:lblOffset val="100"/>
        <c:noMultiLvlLbl val="0"/>
      </c:catAx>
      <c:valAx>
        <c:axId val="213257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2637904"/>
        <c:crosses val="autoZero"/>
        <c:crossBetween val="midCat"/>
        <c:majorUnit val="20000"/>
      </c:valAx>
      <c:spPr>
        <a:pattFill prst="smGrid">
          <a:fgClr>
            <a:schemeClr val="bg1">
              <a:lumMod val="95000"/>
            </a:schemeClr>
          </a:fgClr>
          <a:bgClr>
            <a:schemeClr val="bg1"/>
          </a:bgClr>
        </a:pattFill>
        <a:ln>
          <a:noFill/>
        </a:ln>
        <a:effectLst/>
      </c:spPr>
    </c:plotArea>
    <c:plotVisOnly val="1"/>
    <c:dispBlanksAs val="zero"/>
    <c:showDLblsOverMax val="0"/>
  </c:chart>
  <c:spPr>
    <a:solidFill>
      <a:schemeClr val="accent5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888206</xdr:colOff>
      <xdr:row>156</xdr:row>
      <xdr:rowOff>69058</xdr:rowOff>
    </xdr:from>
    <xdr:to>
      <xdr:col>23</xdr:col>
      <xdr:colOff>130968</xdr:colOff>
      <xdr:row>164</xdr:row>
      <xdr:rowOff>178595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6CB1B41-30CA-48E3-BD77-B760FE4F52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14</xdr:col>
      <xdr:colOff>1098550</xdr:colOff>
      <xdr:row>206</xdr:row>
      <xdr:rowOff>60325</xdr:rowOff>
    </xdr:from>
    <xdr:to>
      <xdr:col>21</xdr:col>
      <xdr:colOff>523875</xdr:colOff>
      <xdr:row>225</xdr:row>
      <xdr:rowOff>158750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49FC8222-0666-41FA-BE5E-84DEE9565C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80863" y="37695981"/>
          <a:ext cx="6426200" cy="5301456"/>
        </a:xfrm>
        <a:prstGeom prst="rect">
          <a:avLst/>
        </a:prstGeom>
      </xdr:spPr>
    </xdr:pic>
    <xdr:clientData/>
  </xdr:twoCellAnchor>
  <xdr:twoCellAnchor>
    <xdr:from>
      <xdr:col>14</xdr:col>
      <xdr:colOff>921544</xdr:colOff>
      <xdr:row>133</xdr:row>
      <xdr:rowOff>226218</xdr:rowOff>
    </xdr:from>
    <xdr:to>
      <xdr:col>23</xdr:col>
      <xdr:colOff>142875</xdr:colOff>
      <xdr:row>156</xdr:row>
      <xdr:rowOff>78579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5615C1E-C849-4F6F-82F4-107DE87C38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15</xdr:col>
      <xdr:colOff>404813</xdr:colOff>
      <xdr:row>133</xdr:row>
      <xdr:rowOff>83343</xdr:rowOff>
    </xdr:from>
    <xdr:ext cx="7143750" cy="128587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D01F284-071B-411E-A6E0-53E9A5D78686}"/>
            </a:ext>
          </a:extLst>
        </xdr:cNvPr>
        <xdr:cNvSpPr txBox="1"/>
      </xdr:nvSpPr>
      <xdr:spPr>
        <a:xfrm>
          <a:off x="12465844" y="30098999"/>
          <a:ext cx="7143750" cy="12858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en-US" sz="1800">
              <a:solidFill>
                <a:schemeClr val="bg1">
                  <a:lumMod val="85000"/>
                </a:schemeClr>
              </a:solidFill>
            </a:rPr>
            <a:t>Peter Knight Advisor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archart.com/futures/quotes/HGZ23/technical-chart?plot=CANDLE&amp;volume=0&amp;data=DO&amp;density=L&amp;pricesOn=1&amp;asPctChange=0&amp;logscale=0&amp;indicators=EXPMA(9);EXPMA(4.5);EXPMA(18);BBANDS(20,2)&amp;sym=HGZ23&amp;grid=1&amp;height=625&amp;studyheight=100" TargetMode="External"/><Relationship Id="rId2" Type="http://schemas.openxmlformats.org/officeDocument/2006/relationships/hyperlink" Target="https://www.barchart.com/futures/quotes/SIY00/technical-chart?plot=CANDLE&amp;volume=0&amp;data=DO&amp;density=L&amp;pricesOn=1&amp;asPctChange=0&amp;logscale=0&amp;indicators=EXPMA(9);EXPMA(4.5);EXPMA(18);BBANDS(20,2)&amp;sym=SIY00&amp;grid=1&amp;height=625&amp;studyheight=100" TargetMode="External"/><Relationship Id="rId1" Type="http://schemas.openxmlformats.org/officeDocument/2006/relationships/hyperlink" Target="https://www.barchart.com/futures/quotes/GCG23/technical-chart?plot=CANDLE&amp;volume=0&amp;data=DO&amp;density=O&amp;pricesOn=1&amp;asPctChange=0&amp;logscale=0&amp;indicators=EXPMA(9);EXPMA(4.5);EXPMA(18);BBANDS(20,2)&amp;sym=GCG23&amp;grid=1&amp;height=625&amp;studyheight=100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98"/>
  <sheetViews>
    <sheetView tabSelected="1" topLeftCell="A150" zoomScale="95" zoomScaleNormal="95" workbookViewId="0">
      <selection activeCell="I168" sqref="I168"/>
    </sheetView>
  </sheetViews>
  <sheetFormatPr defaultRowHeight="15.75" x14ac:dyDescent="0.25"/>
  <cols>
    <col min="1" max="1" width="9.42578125" customWidth="1"/>
    <col min="2" max="2" width="13.7109375" style="1" customWidth="1"/>
    <col min="3" max="3" width="3.85546875" customWidth="1"/>
    <col min="4" max="4" width="11.28515625" style="46" customWidth="1"/>
    <col min="5" max="5" width="18.28515625" style="46" customWidth="1"/>
    <col min="6" max="6" width="15.140625" style="65" customWidth="1"/>
    <col min="7" max="7" width="16.28515625" style="46" customWidth="1"/>
    <col min="8" max="8" width="15.85546875" style="47" hidden="1" customWidth="1"/>
    <col min="9" max="9" width="17.5703125" style="46" customWidth="1"/>
    <col min="10" max="10" width="13.140625" style="47" hidden="1" customWidth="1"/>
    <col min="11" max="11" width="18.140625" style="46" customWidth="1"/>
    <col min="12" max="12" width="13.85546875" style="46" customWidth="1"/>
    <col min="13" max="13" width="18.28515625" style="4" customWidth="1"/>
    <col min="14" max="14" width="7.28515625" style="1" customWidth="1"/>
    <col min="15" max="15" width="17.7109375" style="14" customWidth="1"/>
    <col min="16" max="16" width="11.42578125" style="4" customWidth="1"/>
    <col min="17" max="17" width="15.5703125" style="28" customWidth="1"/>
    <col min="18" max="18" width="11.42578125" style="4" customWidth="1"/>
    <col min="19" max="19" width="16.42578125" style="14" customWidth="1"/>
    <col min="20" max="20" width="13.85546875" style="14" customWidth="1"/>
    <col min="21" max="21" width="18.5703125" style="14" customWidth="1"/>
    <col min="22" max="22" width="13.5703125" customWidth="1"/>
    <col min="23" max="23" width="15.85546875" customWidth="1"/>
    <col min="24" max="25" width="11.42578125" customWidth="1"/>
  </cols>
  <sheetData>
    <row r="1" spans="1:21" x14ac:dyDescent="0.25">
      <c r="M1" s="1"/>
      <c r="O1" s="15"/>
    </row>
    <row r="2" spans="1:21" x14ac:dyDescent="0.25">
      <c r="D2" s="48" t="s">
        <v>0</v>
      </c>
      <c r="E2" s="48" t="s">
        <v>1</v>
      </c>
      <c r="F2" s="113" t="s">
        <v>7</v>
      </c>
      <c r="G2" s="48" t="s">
        <v>2</v>
      </c>
      <c r="H2" s="47" t="s">
        <v>3</v>
      </c>
      <c r="I2" s="48" t="s">
        <v>3</v>
      </c>
      <c r="J2" s="49"/>
      <c r="K2" s="48" t="s">
        <v>4</v>
      </c>
      <c r="L2" s="48" t="s">
        <v>5</v>
      </c>
      <c r="M2" s="13"/>
      <c r="N2" s="22"/>
      <c r="P2" s="116" t="s">
        <v>71</v>
      </c>
      <c r="Q2" s="114" t="s">
        <v>74</v>
      </c>
      <c r="R2" s="117" t="s">
        <v>71</v>
      </c>
      <c r="S2" s="115" t="s">
        <v>72</v>
      </c>
      <c r="T2" s="115" t="s">
        <v>73</v>
      </c>
    </row>
    <row r="3" spans="1:21" x14ac:dyDescent="0.25">
      <c r="D3" s="48" t="s">
        <v>4</v>
      </c>
      <c r="E3" s="48" t="s">
        <v>6</v>
      </c>
      <c r="F3" s="113"/>
      <c r="G3" s="48" t="s">
        <v>8</v>
      </c>
      <c r="H3" s="47" t="s">
        <v>9</v>
      </c>
      <c r="I3" s="48" t="s">
        <v>9</v>
      </c>
      <c r="J3" s="49"/>
      <c r="K3" s="48" t="s">
        <v>6</v>
      </c>
      <c r="L3" s="48" t="s">
        <v>10</v>
      </c>
      <c r="M3" s="13"/>
      <c r="N3" s="22"/>
      <c r="P3" s="116"/>
      <c r="Q3" s="114"/>
      <c r="R3" s="117"/>
      <c r="S3" s="115"/>
      <c r="T3" s="115"/>
    </row>
    <row r="4" spans="1:21" ht="18" customHeight="1" x14ac:dyDescent="0.25">
      <c r="A4" t="s">
        <v>13</v>
      </c>
      <c r="B4" s="19">
        <f>E173</f>
        <v>215062.99129999997</v>
      </c>
      <c r="D4" s="50"/>
      <c r="E4" s="50"/>
      <c r="F4" s="94"/>
      <c r="G4" s="50"/>
      <c r="I4" s="50"/>
      <c r="J4" s="49"/>
      <c r="K4" s="50"/>
      <c r="L4" s="50"/>
      <c r="M4" s="13"/>
      <c r="N4" s="22"/>
      <c r="P4" s="41"/>
      <c r="Q4" s="35"/>
      <c r="R4" s="39"/>
      <c r="S4" s="34"/>
      <c r="T4" s="34"/>
    </row>
    <row r="5" spans="1:21" s="18" customFormat="1" ht="18" customHeight="1" x14ac:dyDescent="0.3">
      <c r="A5" t="s">
        <v>17</v>
      </c>
      <c r="B5" s="20">
        <f>O56</f>
        <v>-7382.2950000000001</v>
      </c>
      <c r="D5" s="51">
        <v>42868</v>
      </c>
      <c r="E5" s="52">
        <v>25000</v>
      </c>
      <c r="F5" s="95">
        <v>0</v>
      </c>
      <c r="G5" s="53">
        <v>0</v>
      </c>
      <c r="H5" s="54">
        <v>18200</v>
      </c>
      <c r="I5" s="53">
        <f>H5*B15</f>
        <v>6734</v>
      </c>
      <c r="J5" s="55">
        <f t="shared" ref="J5:J12" si="0">I5</f>
        <v>6734</v>
      </c>
      <c r="K5" s="53">
        <f t="shared" ref="K5:K12" si="1">E5+I5</f>
        <v>31734</v>
      </c>
      <c r="L5" s="56">
        <f t="shared" ref="L5:L12" si="2">I5/E5</f>
        <v>0.26935999999999999</v>
      </c>
      <c r="M5" s="22"/>
      <c r="N5" s="1"/>
      <c r="O5" s="36"/>
      <c r="P5" s="6">
        <v>42868</v>
      </c>
      <c r="Q5" s="29">
        <f>I5</f>
        <v>6734</v>
      </c>
      <c r="R5" s="6">
        <v>42868</v>
      </c>
      <c r="S5" s="7">
        <f>U5</f>
        <v>6734</v>
      </c>
      <c r="T5" s="8"/>
      <c r="U5" s="27">
        <f t="shared" ref="U5:U12" si="3">I5</f>
        <v>6734</v>
      </c>
    </row>
    <row r="6" spans="1:21" s="18" customFormat="1" ht="18" customHeight="1" x14ac:dyDescent="0.3">
      <c r="A6" s="25" t="s">
        <v>60</v>
      </c>
      <c r="B6" s="26">
        <f>B5/B13</f>
        <v>-0.36911474999999999</v>
      </c>
      <c r="D6" s="51">
        <v>42899</v>
      </c>
      <c r="E6" s="53">
        <f t="shared" ref="E6:E12" si="4">E5+I5</f>
        <v>31734</v>
      </c>
      <c r="F6" s="95">
        <v>0</v>
      </c>
      <c r="G6" s="53">
        <v>0</v>
      </c>
      <c r="H6" s="54">
        <v>22400</v>
      </c>
      <c r="I6" s="53">
        <f>H6*B15</f>
        <v>8288</v>
      </c>
      <c r="J6" s="55">
        <f t="shared" si="0"/>
        <v>8288</v>
      </c>
      <c r="K6" s="53">
        <f t="shared" si="1"/>
        <v>40022</v>
      </c>
      <c r="L6" s="56">
        <f t="shared" si="2"/>
        <v>0.2611709838028613</v>
      </c>
      <c r="M6" s="22"/>
      <c r="N6" s="1"/>
      <c r="O6" s="36"/>
      <c r="P6" s="6">
        <v>42899</v>
      </c>
      <c r="Q6" s="29">
        <f t="shared" ref="Q6:Q19" si="5">Q5+U6</f>
        <v>15022</v>
      </c>
      <c r="R6" s="6">
        <v>42899</v>
      </c>
      <c r="S6" s="7">
        <f>U6</f>
        <v>8288</v>
      </c>
      <c r="T6" s="8"/>
      <c r="U6" s="27">
        <f t="shared" si="3"/>
        <v>8288</v>
      </c>
    </row>
    <row r="7" spans="1:21" s="18" customFormat="1" ht="18" customHeight="1" x14ac:dyDescent="0.3">
      <c r="A7" s="16"/>
      <c r="B7" s="21"/>
      <c r="D7" s="51">
        <v>42929</v>
      </c>
      <c r="E7" s="53">
        <f t="shared" si="4"/>
        <v>40022</v>
      </c>
      <c r="F7" s="95">
        <v>0</v>
      </c>
      <c r="G7" s="53">
        <v>0</v>
      </c>
      <c r="H7" s="57">
        <v>-6648</v>
      </c>
      <c r="I7" s="53">
        <f>H7*B14</f>
        <v>-2193.84</v>
      </c>
      <c r="J7" s="55">
        <f t="shared" si="0"/>
        <v>-2193.84</v>
      </c>
      <c r="K7" s="53">
        <f t="shared" si="1"/>
        <v>37828.160000000003</v>
      </c>
      <c r="L7" s="56">
        <f t="shared" si="2"/>
        <v>-5.4815851281795017E-2</v>
      </c>
      <c r="M7" s="22"/>
      <c r="N7" s="1"/>
      <c r="O7" s="27">
        <f>I7</f>
        <v>-2193.84</v>
      </c>
      <c r="P7" s="6">
        <v>42929</v>
      </c>
      <c r="Q7" s="29">
        <f t="shared" si="5"/>
        <v>12828.16</v>
      </c>
      <c r="R7" s="6">
        <v>42929</v>
      </c>
      <c r="S7" s="7"/>
      <c r="T7" s="9">
        <f>U7</f>
        <v>-2193.84</v>
      </c>
      <c r="U7" s="27">
        <f t="shared" si="3"/>
        <v>-2193.84</v>
      </c>
    </row>
    <row r="8" spans="1:21" s="18" customFormat="1" ht="18" customHeight="1" x14ac:dyDescent="0.3">
      <c r="A8" t="s">
        <v>18</v>
      </c>
      <c r="B8" s="19">
        <f>B4/B5</f>
        <v>-29.132267309827089</v>
      </c>
      <c r="D8" s="51">
        <v>42960</v>
      </c>
      <c r="E8" s="53">
        <f t="shared" si="4"/>
        <v>37828.160000000003</v>
      </c>
      <c r="F8" s="95">
        <v>0</v>
      </c>
      <c r="G8" s="53">
        <v>0</v>
      </c>
      <c r="H8" s="54">
        <v>-318.39999999999998</v>
      </c>
      <c r="I8" s="53">
        <f>H8*B14</f>
        <v>-105.072</v>
      </c>
      <c r="J8" s="55">
        <f t="shared" si="0"/>
        <v>-105.072</v>
      </c>
      <c r="K8" s="53">
        <f t="shared" si="1"/>
        <v>37723.088000000003</v>
      </c>
      <c r="L8" s="56">
        <f t="shared" si="2"/>
        <v>-2.7776132912623822E-3</v>
      </c>
      <c r="M8" s="22"/>
      <c r="N8" s="1"/>
      <c r="O8" s="27">
        <f>I8</f>
        <v>-105.072</v>
      </c>
      <c r="P8" s="6">
        <v>42960</v>
      </c>
      <c r="Q8" s="29">
        <f t="shared" si="5"/>
        <v>12723.088</v>
      </c>
      <c r="R8" s="6">
        <v>42960</v>
      </c>
      <c r="S8" s="7"/>
      <c r="T8" s="9">
        <f>U8</f>
        <v>-105.072</v>
      </c>
      <c r="U8" s="27">
        <f t="shared" si="3"/>
        <v>-105.072</v>
      </c>
    </row>
    <row r="9" spans="1:21" s="18" customFormat="1" ht="18" customHeight="1" x14ac:dyDescent="0.3">
      <c r="A9"/>
      <c r="B9" s="22">
        <f>B5/1.15</f>
        <v>-6419.3869565217401</v>
      </c>
      <c r="D9" s="51">
        <v>42991</v>
      </c>
      <c r="E9" s="53">
        <f t="shared" si="4"/>
        <v>37723.088000000003</v>
      </c>
      <c r="F9" s="95">
        <v>0</v>
      </c>
      <c r="G9" s="53">
        <v>0</v>
      </c>
      <c r="H9" s="57">
        <v>-6642</v>
      </c>
      <c r="I9" s="53">
        <f>H9*B14</f>
        <v>-2191.86</v>
      </c>
      <c r="J9" s="55">
        <f t="shared" si="0"/>
        <v>-2191.86</v>
      </c>
      <c r="K9" s="53">
        <f t="shared" si="1"/>
        <v>35531.228000000003</v>
      </c>
      <c r="L9" s="56">
        <f t="shared" si="2"/>
        <v>-5.8103938892807502E-2</v>
      </c>
      <c r="M9" s="22"/>
      <c r="N9" s="1"/>
      <c r="O9" s="27">
        <f>I9</f>
        <v>-2191.86</v>
      </c>
      <c r="P9" s="6">
        <v>42991</v>
      </c>
      <c r="Q9" s="29">
        <f t="shared" si="5"/>
        <v>10531.227999999999</v>
      </c>
      <c r="R9" s="6">
        <v>42991</v>
      </c>
      <c r="S9" s="8"/>
      <c r="T9" s="9">
        <f>U9</f>
        <v>-2191.86</v>
      </c>
      <c r="U9" s="27">
        <f t="shared" si="3"/>
        <v>-2191.86</v>
      </c>
    </row>
    <row r="10" spans="1:21" s="18" customFormat="1" ht="18" customHeight="1" x14ac:dyDescent="0.3">
      <c r="A10" t="s">
        <v>14</v>
      </c>
      <c r="B10" s="24">
        <f>N173</f>
        <v>124</v>
      </c>
      <c r="D10" s="51">
        <v>43021</v>
      </c>
      <c r="E10" s="53">
        <f t="shared" si="4"/>
        <v>35531.228000000003</v>
      </c>
      <c r="F10" s="95">
        <v>0</v>
      </c>
      <c r="G10" s="53">
        <v>0</v>
      </c>
      <c r="H10" s="57">
        <v>-1800</v>
      </c>
      <c r="I10" s="53">
        <f>H10*B14</f>
        <v>-594</v>
      </c>
      <c r="J10" s="55">
        <f t="shared" si="0"/>
        <v>-594</v>
      </c>
      <c r="K10" s="53">
        <f t="shared" si="1"/>
        <v>34937.228000000003</v>
      </c>
      <c r="L10" s="56">
        <f t="shared" si="2"/>
        <v>-1.671768845140956E-2</v>
      </c>
      <c r="M10" s="22"/>
      <c r="N10" s="1"/>
      <c r="O10" s="27">
        <f>I10</f>
        <v>-594</v>
      </c>
      <c r="P10" s="6">
        <v>43021</v>
      </c>
      <c r="Q10" s="29">
        <f t="shared" si="5"/>
        <v>9937.2279999999992</v>
      </c>
      <c r="R10" s="6">
        <v>43021</v>
      </c>
      <c r="S10" s="7"/>
      <c r="T10" s="9">
        <f>U10</f>
        <v>-594</v>
      </c>
      <c r="U10" s="27">
        <f t="shared" si="3"/>
        <v>-594</v>
      </c>
    </row>
    <row r="11" spans="1:21" s="18" customFormat="1" ht="18" customHeight="1" x14ac:dyDescent="0.3">
      <c r="A11" t="s">
        <v>56</v>
      </c>
      <c r="B11" s="22">
        <f>B10/12</f>
        <v>10.333333333333334</v>
      </c>
      <c r="D11" s="51">
        <v>43052</v>
      </c>
      <c r="E11" s="53">
        <f t="shared" si="4"/>
        <v>34937.228000000003</v>
      </c>
      <c r="F11" s="95">
        <v>0</v>
      </c>
      <c r="G11" s="53">
        <v>0</v>
      </c>
      <c r="H11" s="54">
        <v>12828.6</v>
      </c>
      <c r="I11" s="53">
        <f>H11*B15</f>
        <v>4746.5820000000003</v>
      </c>
      <c r="J11" s="55">
        <f t="shared" si="0"/>
        <v>4746.5820000000003</v>
      </c>
      <c r="K11" s="53">
        <f t="shared" si="1"/>
        <v>39683.810000000005</v>
      </c>
      <c r="L11" s="56">
        <f t="shared" si="2"/>
        <v>0.13586029206438474</v>
      </c>
      <c r="M11" s="22"/>
      <c r="N11" s="1"/>
      <c r="O11" s="37">
        <f>SUM(O7:O10)</f>
        <v>-5084.7720000000008</v>
      </c>
      <c r="P11" s="6">
        <v>43052</v>
      </c>
      <c r="Q11" s="29">
        <f t="shared" si="5"/>
        <v>14683.81</v>
      </c>
      <c r="R11" s="6">
        <v>43052</v>
      </c>
      <c r="S11" s="7">
        <f>U11</f>
        <v>4746.5820000000003</v>
      </c>
      <c r="T11" s="8"/>
      <c r="U11" s="27">
        <f t="shared" si="3"/>
        <v>4746.5820000000003</v>
      </c>
    </row>
    <row r="12" spans="1:21" s="18" customFormat="1" ht="18" customHeight="1" x14ac:dyDescent="0.3">
      <c r="A12"/>
      <c r="B12" s="22"/>
      <c r="D12" s="51">
        <v>43082</v>
      </c>
      <c r="E12" s="53">
        <f t="shared" si="4"/>
        <v>39683.810000000005</v>
      </c>
      <c r="F12" s="95">
        <v>0</v>
      </c>
      <c r="G12" s="53">
        <v>0</v>
      </c>
      <c r="H12" s="54">
        <v>7700</v>
      </c>
      <c r="I12" s="53">
        <f>H12*B15</f>
        <v>2849</v>
      </c>
      <c r="J12" s="55">
        <f t="shared" si="0"/>
        <v>2849</v>
      </c>
      <c r="K12" s="53">
        <f t="shared" si="1"/>
        <v>42532.810000000005</v>
      </c>
      <c r="L12" s="56">
        <f t="shared" si="2"/>
        <v>7.1792501778433063E-2</v>
      </c>
      <c r="M12" s="22"/>
      <c r="N12" s="1"/>
      <c r="O12" s="36"/>
      <c r="P12" s="6">
        <v>43082</v>
      </c>
      <c r="Q12" s="29">
        <f t="shared" si="5"/>
        <v>17532.809999999998</v>
      </c>
      <c r="R12" s="6">
        <v>43082</v>
      </c>
      <c r="S12" s="7">
        <f>U12</f>
        <v>2849</v>
      </c>
      <c r="T12" s="8"/>
      <c r="U12" s="27">
        <f t="shared" si="3"/>
        <v>2849</v>
      </c>
    </row>
    <row r="13" spans="1:21" s="18" customFormat="1" ht="18" customHeight="1" x14ac:dyDescent="0.3">
      <c r="A13" t="s">
        <v>57</v>
      </c>
      <c r="B13" s="19">
        <v>20000</v>
      </c>
      <c r="D13" s="46"/>
      <c r="E13" s="46"/>
      <c r="F13" s="65"/>
      <c r="G13" s="46"/>
      <c r="H13" s="58" t="s">
        <v>11</v>
      </c>
      <c r="I13" s="46" t="s">
        <v>11</v>
      </c>
      <c r="J13" s="47"/>
      <c r="K13" s="46"/>
      <c r="L13" s="46" t="s">
        <v>11</v>
      </c>
      <c r="M13" s="22"/>
      <c r="N13" s="1"/>
      <c r="O13" s="36"/>
      <c r="P13" s="6">
        <v>42749</v>
      </c>
      <c r="Q13" s="29">
        <f>Q12+U13</f>
        <v>15658.409999999998</v>
      </c>
      <c r="R13" s="6">
        <v>42749</v>
      </c>
      <c r="S13" s="8"/>
      <c r="T13" s="9">
        <f>U13</f>
        <v>-1874.4</v>
      </c>
      <c r="U13" s="27">
        <f t="shared" ref="U13:U24" si="6">I16</f>
        <v>-1874.4</v>
      </c>
    </row>
    <row r="14" spans="1:21" s="18" customFormat="1" ht="18" customHeight="1" x14ac:dyDescent="0.3">
      <c r="A14" t="s">
        <v>59</v>
      </c>
      <c r="B14" s="22">
        <v>0.33</v>
      </c>
      <c r="D14" s="46"/>
      <c r="E14" s="46"/>
      <c r="F14" s="65"/>
      <c r="G14" s="46"/>
      <c r="H14" s="59">
        <v>80983.69</v>
      </c>
      <c r="I14" s="52">
        <f>SUM(I5:I13)</f>
        <v>17532.809999999998</v>
      </c>
      <c r="J14" s="55"/>
      <c r="K14" s="60"/>
      <c r="L14" s="61">
        <f>I14/B13</f>
        <v>0.87664049999999993</v>
      </c>
      <c r="M14" s="22">
        <f>I14</f>
        <v>17532.809999999998</v>
      </c>
      <c r="N14" s="1">
        <v>8</v>
      </c>
      <c r="O14" s="36"/>
      <c r="P14" s="6">
        <v>42780</v>
      </c>
      <c r="Q14" s="29">
        <f t="shared" si="5"/>
        <v>21051.159999999996</v>
      </c>
      <c r="R14" s="6">
        <v>42780</v>
      </c>
      <c r="S14" s="7">
        <f>U14</f>
        <v>5392.75</v>
      </c>
      <c r="T14" s="8"/>
      <c r="U14" s="27">
        <f t="shared" si="6"/>
        <v>5392.75</v>
      </c>
    </row>
    <row r="15" spans="1:21" s="18" customFormat="1" ht="18" customHeight="1" x14ac:dyDescent="0.3">
      <c r="A15" t="s">
        <v>58</v>
      </c>
      <c r="B15" s="22">
        <v>0.37</v>
      </c>
      <c r="D15" s="46"/>
      <c r="E15" s="46"/>
      <c r="F15" s="65"/>
      <c r="G15" s="46"/>
      <c r="H15" s="62"/>
      <c r="I15" s="52"/>
      <c r="J15" s="63"/>
      <c r="K15" s="60"/>
      <c r="L15" s="61"/>
      <c r="M15" s="22"/>
      <c r="N15" s="1"/>
      <c r="O15" s="36"/>
      <c r="P15" s="6">
        <v>42808</v>
      </c>
      <c r="Q15" s="29">
        <f t="shared" si="5"/>
        <v>20112.395799999995</v>
      </c>
      <c r="R15" s="6">
        <v>42808</v>
      </c>
      <c r="S15" s="8"/>
      <c r="T15" s="9">
        <f>U15</f>
        <v>-938.76419999999996</v>
      </c>
      <c r="U15" s="27">
        <f t="shared" si="6"/>
        <v>-938.76419999999996</v>
      </c>
    </row>
    <row r="16" spans="1:21" s="18" customFormat="1" ht="18" customHeight="1" x14ac:dyDescent="0.3">
      <c r="A16"/>
      <c r="B16" s="22"/>
      <c r="D16" s="51">
        <v>42749</v>
      </c>
      <c r="E16" s="53">
        <f>E5</f>
        <v>25000</v>
      </c>
      <c r="F16" s="95">
        <v>0</v>
      </c>
      <c r="G16" s="53">
        <v>-22975</v>
      </c>
      <c r="H16" s="57">
        <v>-5680</v>
      </c>
      <c r="I16" s="53">
        <f>H16*B14</f>
        <v>-1874.4</v>
      </c>
      <c r="J16" s="55">
        <f t="shared" ref="J16:J27" si="7">I16</f>
        <v>-1874.4</v>
      </c>
      <c r="K16" s="53">
        <f t="shared" ref="K16:K27" si="8">E16+I16</f>
        <v>23125.599999999999</v>
      </c>
      <c r="L16" s="56">
        <f t="shared" ref="L16:L27" si="9">I16/E16</f>
        <v>-7.4976000000000001E-2</v>
      </c>
      <c r="M16" s="22"/>
      <c r="N16" s="1"/>
      <c r="O16" s="36"/>
      <c r="P16" s="6">
        <v>42839</v>
      </c>
      <c r="Q16" s="29">
        <f t="shared" si="5"/>
        <v>18185.195799999994</v>
      </c>
      <c r="R16" s="6">
        <v>42839</v>
      </c>
      <c r="S16" s="8"/>
      <c r="T16" s="9">
        <f>U16</f>
        <v>-1927.2</v>
      </c>
      <c r="U16" s="27">
        <f t="shared" si="6"/>
        <v>-1927.2</v>
      </c>
    </row>
    <row r="17" spans="1:21" s="18" customFormat="1" ht="18" customHeight="1" x14ac:dyDescent="0.3">
      <c r="A17" t="s">
        <v>13</v>
      </c>
      <c r="B17" s="22">
        <f>E173</f>
        <v>215062.99129999997</v>
      </c>
      <c r="D17" s="51">
        <v>42780</v>
      </c>
      <c r="E17" s="53">
        <f t="shared" ref="E17:E27" si="10">E16+I16</f>
        <v>23125.599999999999</v>
      </c>
      <c r="F17" s="95">
        <v>0</v>
      </c>
      <c r="G17" s="53">
        <v>0</v>
      </c>
      <c r="H17" s="54">
        <v>14575</v>
      </c>
      <c r="I17" s="53">
        <f>H17*B15</f>
        <v>5392.75</v>
      </c>
      <c r="J17" s="55">
        <f t="shared" si="7"/>
        <v>5392.75</v>
      </c>
      <c r="K17" s="53">
        <f t="shared" si="8"/>
        <v>28518.35</v>
      </c>
      <c r="L17" s="56">
        <f t="shared" si="9"/>
        <v>0.23319394956238976</v>
      </c>
      <c r="M17" s="22"/>
      <c r="N17" s="1"/>
      <c r="O17" s="36"/>
      <c r="P17" s="6">
        <v>42869</v>
      </c>
      <c r="Q17" s="29">
        <f t="shared" si="5"/>
        <v>20593.377799999995</v>
      </c>
      <c r="R17" s="6">
        <v>42869</v>
      </c>
      <c r="S17" s="7">
        <f>U17</f>
        <v>2408.1820000000002</v>
      </c>
      <c r="T17" s="8"/>
      <c r="U17" s="27">
        <f t="shared" si="6"/>
        <v>2408.1820000000002</v>
      </c>
    </row>
    <row r="18" spans="1:21" s="18" customFormat="1" ht="18" customHeight="1" x14ac:dyDescent="0.25">
      <c r="A18" t="s">
        <v>15</v>
      </c>
      <c r="B18" s="22">
        <f>B17/B10</f>
        <v>1734.3789620967739</v>
      </c>
      <c r="D18" s="51">
        <v>42808</v>
      </c>
      <c r="E18" s="53">
        <f t="shared" si="10"/>
        <v>28518.35</v>
      </c>
      <c r="F18" s="95">
        <v>0</v>
      </c>
      <c r="G18" s="53">
        <v>0</v>
      </c>
      <c r="H18" s="57">
        <v>-2844.74</v>
      </c>
      <c r="I18" s="53">
        <f>H18*B14</f>
        <v>-938.76419999999996</v>
      </c>
      <c r="J18" s="55">
        <f t="shared" si="7"/>
        <v>-938.76419999999996</v>
      </c>
      <c r="K18" s="53">
        <f t="shared" si="8"/>
        <v>27579.585799999997</v>
      </c>
      <c r="L18" s="56">
        <f t="shared" si="9"/>
        <v>-3.2917900229150705E-2</v>
      </c>
      <c r="M18" s="22"/>
      <c r="N18" s="1"/>
      <c r="O18" s="36"/>
      <c r="P18" s="6">
        <v>42900</v>
      </c>
      <c r="Q18" s="29">
        <f t="shared" si="5"/>
        <v>23487.784199999995</v>
      </c>
      <c r="R18" s="6">
        <v>42900</v>
      </c>
      <c r="S18" s="7">
        <f>U18</f>
        <v>2894.4063999999998</v>
      </c>
      <c r="T18" s="7"/>
      <c r="U18" s="27">
        <f t="shared" si="6"/>
        <v>2894.4063999999998</v>
      </c>
    </row>
    <row r="19" spans="1:21" s="18" customFormat="1" ht="18" customHeight="1" x14ac:dyDescent="0.3">
      <c r="A19" t="s">
        <v>16</v>
      </c>
      <c r="B19" s="19">
        <f>B18*12</f>
        <v>20812.547545161287</v>
      </c>
      <c r="D19" s="51">
        <v>42839</v>
      </c>
      <c r="E19" s="53">
        <f t="shared" si="10"/>
        <v>27579.585799999997</v>
      </c>
      <c r="F19" s="95">
        <v>0</v>
      </c>
      <c r="G19" s="53">
        <v>0</v>
      </c>
      <c r="H19" s="57">
        <v>-5840</v>
      </c>
      <c r="I19" s="53">
        <f>H19*B14</f>
        <v>-1927.2</v>
      </c>
      <c r="J19" s="55">
        <f t="shared" si="7"/>
        <v>-1927.2</v>
      </c>
      <c r="K19" s="53">
        <f t="shared" si="8"/>
        <v>25652.385799999996</v>
      </c>
      <c r="L19" s="56">
        <f t="shared" si="9"/>
        <v>-6.9877771695904159E-2</v>
      </c>
      <c r="M19" s="22"/>
      <c r="N19" s="1"/>
      <c r="O19" s="36"/>
      <c r="P19" s="6">
        <v>42930</v>
      </c>
      <c r="Q19" s="29">
        <f t="shared" si="5"/>
        <v>21861.874199999995</v>
      </c>
      <c r="R19" s="6">
        <v>42930</v>
      </c>
      <c r="S19" s="8"/>
      <c r="T19" s="9">
        <f>U19</f>
        <v>-1625.91</v>
      </c>
      <c r="U19" s="27">
        <f t="shared" si="6"/>
        <v>-1625.91</v>
      </c>
    </row>
    <row r="20" spans="1:21" s="18" customFormat="1" ht="18" customHeight="1" x14ac:dyDescent="0.3">
      <c r="A20" t="s">
        <v>19</v>
      </c>
      <c r="B20" s="3">
        <f>B19/B13</f>
        <v>1.0406273772580643</v>
      </c>
      <c r="D20" s="51">
        <v>42869</v>
      </c>
      <c r="E20" s="53">
        <f t="shared" si="10"/>
        <v>25652.385799999996</v>
      </c>
      <c r="F20" s="95">
        <v>0</v>
      </c>
      <c r="G20" s="53">
        <v>0</v>
      </c>
      <c r="H20" s="54">
        <v>6508.6</v>
      </c>
      <c r="I20" s="53">
        <f>H20*B15</f>
        <v>2408.1820000000002</v>
      </c>
      <c r="J20" s="55">
        <f t="shared" si="7"/>
        <v>2408.1820000000002</v>
      </c>
      <c r="K20" s="53">
        <f t="shared" si="8"/>
        <v>28060.567799999997</v>
      </c>
      <c r="L20" s="56">
        <f t="shared" si="9"/>
        <v>9.3877505927733265E-2</v>
      </c>
      <c r="M20" s="22"/>
      <c r="N20" s="1"/>
      <c r="O20" s="36"/>
      <c r="P20" s="6">
        <v>42961</v>
      </c>
      <c r="Q20" s="29">
        <f t="shared" ref="Q20:Q51" si="11">Q19+U20</f>
        <v>20044.098899999994</v>
      </c>
      <c r="R20" s="6">
        <v>42961</v>
      </c>
      <c r="S20" s="7"/>
      <c r="T20" s="9">
        <f>U20</f>
        <v>-1817.7753</v>
      </c>
      <c r="U20" s="27">
        <f t="shared" si="6"/>
        <v>-1817.7753</v>
      </c>
    </row>
    <row r="21" spans="1:21" s="18" customFormat="1" ht="18" customHeight="1" x14ac:dyDescent="0.3">
      <c r="A21"/>
      <c r="B21" s="1"/>
      <c r="D21" s="51">
        <v>42900</v>
      </c>
      <c r="E21" s="53">
        <f t="shared" si="10"/>
        <v>28060.567799999997</v>
      </c>
      <c r="F21" s="95">
        <v>0</v>
      </c>
      <c r="G21" s="53">
        <v>0</v>
      </c>
      <c r="H21" s="54">
        <v>7822.72</v>
      </c>
      <c r="I21" s="53">
        <f>H21*B15</f>
        <v>2894.4063999999998</v>
      </c>
      <c r="J21" s="55">
        <f t="shared" si="7"/>
        <v>2894.4063999999998</v>
      </c>
      <c r="K21" s="53">
        <f t="shared" si="8"/>
        <v>30954.974199999997</v>
      </c>
      <c r="L21" s="56">
        <f t="shared" si="9"/>
        <v>0.10314853286753521</v>
      </c>
      <c r="M21" s="22"/>
      <c r="N21" s="1"/>
      <c r="O21" s="36"/>
      <c r="P21" s="6">
        <v>42992</v>
      </c>
      <c r="Q21" s="29">
        <f t="shared" si="11"/>
        <v>23781.254299999993</v>
      </c>
      <c r="R21" s="6">
        <v>42992</v>
      </c>
      <c r="S21" s="7">
        <f>U21</f>
        <v>3737.1554000000001</v>
      </c>
      <c r="T21" s="8"/>
      <c r="U21" s="27">
        <f t="shared" si="6"/>
        <v>3737.1554000000001</v>
      </c>
    </row>
    <row r="22" spans="1:21" s="18" customFormat="1" ht="18" customHeight="1" x14ac:dyDescent="0.3">
      <c r="A22"/>
      <c r="B22" s="23"/>
      <c r="D22" s="51">
        <v>42930</v>
      </c>
      <c r="E22" s="53">
        <f t="shared" si="10"/>
        <v>30954.974199999997</v>
      </c>
      <c r="F22" s="95">
        <v>0</v>
      </c>
      <c r="G22" s="53">
        <v>0</v>
      </c>
      <c r="H22" s="57">
        <v>-4927</v>
      </c>
      <c r="I22" s="53">
        <f>H22*B14</f>
        <v>-1625.91</v>
      </c>
      <c r="J22" s="55">
        <f t="shared" si="7"/>
        <v>-1625.91</v>
      </c>
      <c r="K22" s="53">
        <f t="shared" si="8"/>
        <v>29329.064199999997</v>
      </c>
      <c r="L22" s="56">
        <f t="shared" si="9"/>
        <v>-5.2524999358584519E-2</v>
      </c>
      <c r="M22" s="22"/>
      <c r="N22" s="1"/>
      <c r="O22" s="36"/>
      <c r="P22" s="6">
        <v>43022</v>
      </c>
      <c r="Q22" s="29">
        <f t="shared" si="11"/>
        <v>26380.504299999993</v>
      </c>
      <c r="R22" s="6">
        <v>43022</v>
      </c>
      <c r="S22" s="7">
        <f>U22</f>
        <v>2599.25</v>
      </c>
      <c r="T22" s="8"/>
      <c r="U22" s="27">
        <f t="shared" si="6"/>
        <v>2599.25</v>
      </c>
    </row>
    <row r="23" spans="1:21" s="18" customFormat="1" ht="18" customHeight="1" x14ac:dyDescent="0.3">
      <c r="A23"/>
      <c r="B23" s="23"/>
      <c r="D23" s="51">
        <v>42961</v>
      </c>
      <c r="E23" s="53">
        <f t="shared" si="10"/>
        <v>29329.064199999997</v>
      </c>
      <c r="F23" s="95">
        <v>0</v>
      </c>
      <c r="G23" s="53">
        <v>0</v>
      </c>
      <c r="H23" s="57">
        <v>-5508.41</v>
      </c>
      <c r="I23" s="53">
        <f>H23*B14</f>
        <v>-1817.7753</v>
      </c>
      <c r="J23" s="63">
        <f>SUM(J18:J22)</f>
        <v>810.71420000000012</v>
      </c>
      <c r="K23" s="53">
        <f t="shared" si="8"/>
        <v>27511.288899999996</v>
      </c>
      <c r="L23" s="56">
        <f t="shared" si="9"/>
        <v>-6.1978632785699317E-2</v>
      </c>
      <c r="M23" s="22"/>
      <c r="N23" s="1"/>
      <c r="O23" s="36"/>
      <c r="P23" s="6">
        <v>43053</v>
      </c>
      <c r="Q23" s="29">
        <f t="shared" si="11"/>
        <v>24632.085099999993</v>
      </c>
      <c r="R23" s="6">
        <v>43053</v>
      </c>
      <c r="S23" s="8"/>
      <c r="T23" s="9">
        <f>U23</f>
        <v>-1748.4192</v>
      </c>
      <c r="U23" s="27">
        <f t="shared" si="6"/>
        <v>-1748.4192</v>
      </c>
    </row>
    <row r="24" spans="1:21" s="18" customFormat="1" ht="18" customHeight="1" x14ac:dyDescent="0.25">
      <c r="A24"/>
      <c r="B24" s="2"/>
      <c r="D24" s="51">
        <v>42992</v>
      </c>
      <c r="E24" s="53">
        <f t="shared" si="10"/>
        <v>27511.288899999996</v>
      </c>
      <c r="F24" s="95">
        <v>0</v>
      </c>
      <c r="G24" s="53">
        <v>0</v>
      </c>
      <c r="H24" s="54">
        <v>10100.42</v>
      </c>
      <c r="I24" s="53">
        <f>H24*B15</f>
        <v>3737.1554000000001</v>
      </c>
      <c r="J24" s="55">
        <f t="shared" si="7"/>
        <v>3737.1554000000001</v>
      </c>
      <c r="K24" s="53">
        <f t="shared" si="8"/>
        <v>31248.444299999996</v>
      </c>
      <c r="L24" s="56">
        <f t="shared" si="9"/>
        <v>0.13584079661204099</v>
      </c>
      <c r="M24" s="22"/>
      <c r="N24" s="1"/>
      <c r="O24" s="36"/>
      <c r="P24" s="6">
        <v>43083</v>
      </c>
      <c r="Q24" s="29">
        <f t="shared" si="11"/>
        <v>26020.058699999994</v>
      </c>
      <c r="R24" s="6">
        <v>43083</v>
      </c>
      <c r="S24" s="7">
        <f t="shared" ref="S24:S29" si="12">U24</f>
        <v>1387.9736</v>
      </c>
      <c r="T24" s="7"/>
      <c r="U24" s="27">
        <f t="shared" si="6"/>
        <v>1387.9736</v>
      </c>
    </row>
    <row r="25" spans="1:21" s="18" customFormat="1" ht="18" customHeight="1" x14ac:dyDescent="0.3">
      <c r="A25"/>
      <c r="B25" s="2"/>
      <c r="D25" s="51">
        <v>43022</v>
      </c>
      <c r="E25" s="53">
        <f t="shared" si="10"/>
        <v>31248.444299999996</v>
      </c>
      <c r="F25" s="95">
        <v>0</v>
      </c>
      <c r="G25" s="53">
        <v>0</v>
      </c>
      <c r="H25" s="54">
        <v>7025</v>
      </c>
      <c r="I25" s="53">
        <f>H25*B15</f>
        <v>2599.25</v>
      </c>
      <c r="J25" s="55">
        <f t="shared" si="7"/>
        <v>2599.25</v>
      </c>
      <c r="K25" s="53">
        <f t="shared" si="8"/>
        <v>33847.694299999996</v>
      </c>
      <c r="L25" s="56">
        <f t="shared" si="9"/>
        <v>8.3180140907046701E-2</v>
      </c>
      <c r="M25" s="22"/>
      <c r="N25" s="1"/>
      <c r="O25" s="36"/>
      <c r="P25" s="6">
        <v>42750</v>
      </c>
      <c r="Q25" s="29">
        <f>Q24+U25</f>
        <v>27934.927099999994</v>
      </c>
      <c r="R25" s="6">
        <v>42750</v>
      </c>
      <c r="S25" s="7">
        <f t="shared" si="12"/>
        <v>1914.8683999999998</v>
      </c>
      <c r="T25" s="8"/>
      <c r="U25" s="27">
        <f t="shared" ref="U25:U36" si="13">I31</f>
        <v>1914.8683999999998</v>
      </c>
    </row>
    <row r="26" spans="1:21" s="18" customFormat="1" ht="18" customHeight="1" x14ac:dyDescent="0.25">
      <c r="A26"/>
      <c r="B26" s="2"/>
      <c r="D26" s="51">
        <v>43053</v>
      </c>
      <c r="E26" s="53">
        <f t="shared" si="10"/>
        <v>33847.694299999996</v>
      </c>
      <c r="F26" s="95">
        <v>0</v>
      </c>
      <c r="G26" s="53">
        <v>0</v>
      </c>
      <c r="H26" s="57">
        <v>-5298.24</v>
      </c>
      <c r="I26" s="53">
        <f>H26*B14</f>
        <v>-1748.4192</v>
      </c>
      <c r="J26" s="55">
        <f t="shared" si="7"/>
        <v>-1748.4192</v>
      </c>
      <c r="K26" s="53">
        <f t="shared" si="8"/>
        <v>32099.275099999995</v>
      </c>
      <c r="L26" s="56">
        <f t="shared" si="9"/>
        <v>-5.1655488982598155E-2</v>
      </c>
      <c r="M26" s="22"/>
      <c r="N26" s="1"/>
      <c r="O26" s="36"/>
      <c r="P26" s="6">
        <v>42781</v>
      </c>
      <c r="Q26" s="29">
        <f t="shared" si="11"/>
        <v>36010.177099999994</v>
      </c>
      <c r="R26" s="6">
        <v>42781</v>
      </c>
      <c r="S26" s="7">
        <f t="shared" si="12"/>
        <v>8075.25</v>
      </c>
      <c r="T26" s="7"/>
      <c r="U26" s="27">
        <f t="shared" si="13"/>
        <v>8075.25</v>
      </c>
    </row>
    <row r="27" spans="1:21" s="18" customFormat="1" ht="18" customHeight="1" x14ac:dyDescent="0.3">
      <c r="A27"/>
      <c r="B27" s="2"/>
      <c r="D27" s="51">
        <v>43083</v>
      </c>
      <c r="E27" s="53">
        <f t="shared" si="10"/>
        <v>32099.275099999995</v>
      </c>
      <c r="F27" s="95">
        <v>0</v>
      </c>
      <c r="G27" s="53">
        <v>0</v>
      </c>
      <c r="H27" s="54">
        <v>3751.28</v>
      </c>
      <c r="I27" s="53">
        <f>H27*B15</f>
        <v>1387.9736</v>
      </c>
      <c r="J27" s="55">
        <f t="shared" si="7"/>
        <v>1387.9736</v>
      </c>
      <c r="K27" s="53">
        <f t="shared" si="8"/>
        <v>33487.248699999996</v>
      </c>
      <c r="L27" s="56">
        <f t="shared" si="9"/>
        <v>4.3240029429823489E-2</v>
      </c>
      <c r="M27" s="22"/>
      <c r="N27" s="1"/>
      <c r="O27" s="36"/>
      <c r="P27" s="6">
        <v>42809</v>
      </c>
      <c r="Q27" s="29">
        <f t="shared" si="11"/>
        <v>41074.552099999994</v>
      </c>
      <c r="R27" s="6">
        <v>42809</v>
      </c>
      <c r="S27" s="7">
        <f t="shared" si="12"/>
        <v>5064.375</v>
      </c>
      <c r="T27" s="8"/>
      <c r="U27" s="27">
        <f t="shared" si="13"/>
        <v>5064.375</v>
      </c>
    </row>
    <row r="28" spans="1:21" s="18" customFormat="1" ht="18" customHeight="1" x14ac:dyDescent="0.25">
      <c r="A28"/>
      <c r="B28" s="2"/>
      <c r="D28" s="46"/>
      <c r="E28" s="46"/>
      <c r="F28" s="65"/>
      <c r="G28" s="46"/>
      <c r="H28" s="58" t="s">
        <v>11</v>
      </c>
      <c r="I28" s="46" t="s">
        <v>11</v>
      </c>
      <c r="J28" s="47"/>
      <c r="K28" s="46"/>
      <c r="L28" s="46" t="s">
        <v>11</v>
      </c>
      <c r="M28" s="22"/>
      <c r="N28" s="1"/>
      <c r="O28" s="36"/>
      <c r="P28" s="6">
        <v>42840</v>
      </c>
      <c r="Q28" s="29">
        <f t="shared" si="11"/>
        <v>42522.177099999994</v>
      </c>
      <c r="R28" s="6">
        <v>42840</v>
      </c>
      <c r="S28" s="7">
        <f t="shared" si="12"/>
        <v>1447.625</v>
      </c>
      <c r="T28" s="7"/>
      <c r="U28" s="27">
        <f t="shared" si="13"/>
        <v>1447.625</v>
      </c>
    </row>
    <row r="29" spans="1:21" ht="18" customHeight="1" x14ac:dyDescent="0.25">
      <c r="H29" s="59">
        <v>19684.63</v>
      </c>
      <c r="I29" s="52">
        <f>SUM(I16:I28)</f>
        <v>8487.2486999999983</v>
      </c>
      <c r="J29" s="55"/>
      <c r="K29" s="60"/>
      <c r="L29" s="64">
        <f>I29/B13</f>
        <v>0.42436243499999993</v>
      </c>
      <c r="M29" s="22">
        <f>I29</f>
        <v>8487.2486999999983</v>
      </c>
      <c r="N29" s="1">
        <v>12</v>
      </c>
      <c r="P29" s="6">
        <v>42870</v>
      </c>
      <c r="Q29" s="29">
        <f t="shared" si="11"/>
        <v>44090.052099999994</v>
      </c>
      <c r="R29" s="6">
        <v>42870</v>
      </c>
      <c r="S29" s="7">
        <f t="shared" si="12"/>
        <v>1567.875</v>
      </c>
      <c r="T29" s="7"/>
      <c r="U29" s="27">
        <f t="shared" si="13"/>
        <v>1567.875</v>
      </c>
    </row>
    <row r="30" spans="1:21" ht="18" customHeight="1" x14ac:dyDescent="0.3">
      <c r="H30" s="62"/>
      <c r="J30" s="65"/>
      <c r="K30" s="65"/>
      <c r="M30" s="22"/>
      <c r="P30" s="6">
        <v>42901</v>
      </c>
      <c r="Q30" s="29">
        <f t="shared" si="11"/>
        <v>42027.552099999994</v>
      </c>
      <c r="R30" s="6">
        <v>42901</v>
      </c>
      <c r="S30" s="7"/>
      <c r="T30" s="9">
        <f>U30</f>
        <v>-2062.5</v>
      </c>
      <c r="U30" s="27">
        <f t="shared" si="13"/>
        <v>-2062.5</v>
      </c>
    </row>
    <row r="31" spans="1:21" ht="18" customHeight="1" x14ac:dyDescent="0.3">
      <c r="D31" s="51">
        <v>42750</v>
      </c>
      <c r="E31" s="53">
        <f>E16</f>
        <v>25000</v>
      </c>
      <c r="F31" s="95">
        <v>0</v>
      </c>
      <c r="G31" s="53">
        <f>-I29</f>
        <v>-8487.2486999999983</v>
      </c>
      <c r="H31" s="54">
        <v>5175.32</v>
      </c>
      <c r="I31" s="53">
        <f>H31*B15</f>
        <v>1914.8683999999998</v>
      </c>
      <c r="J31" s="55">
        <f t="shared" ref="J31:J42" si="14">I31</f>
        <v>1914.8683999999998</v>
      </c>
      <c r="K31" s="53">
        <f>E31+I31</f>
        <v>26914.868399999999</v>
      </c>
      <c r="L31" s="56">
        <f>I31/B13</f>
        <v>9.5743419999999996E-2</v>
      </c>
      <c r="M31" s="22"/>
      <c r="P31" s="6">
        <v>42931</v>
      </c>
      <c r="Q31" s="29">
        <f t="shared" si="11"/>
        <v>49168.552099999994</v>
      </c>
      <c r="R31" s="6">
        <v>42931</v>
      </c>
      <c r="S31" s="7">
        <f>U31</f>
        <v>7141</v>
      </c>
      <c r="T31" s="9"/>
      <c r="U31" s="27">
        <f t="shared" si="13"/>
        <v>7141</v>
      </c>
    </row>
    <row r="32" spans="1:21" ht="18" customHeight="1" x14ac:dyDescent="0.25">
      <c r="D32" s="51">
        <v>42781</v>
      </c>
      <c r="E32" s="53">
        <f t="shared" ref="E32:E42" si="15">E31+I31</f>
        <v>26914.868399999999</v>
      </c>
      <c r="F32" s="95">
        <v>0</v>
      </c>
      <c r="G32" s="53">
        <v>0</v>
      </c>
      <c r="H32" s="54">
        <v>21825</v>
      </c>
      <c r="I32" s="53">
        <f>H32*B15</f>
        <v>8075.25</v>
      </c>
      <c r="J32" s="55">
        <f t="shared" si="14"/>
        <v>8075.25</v>
      </c>
      <c r="K32" s="53">
        <f>E32+I32</f>
        <v>34990.118399999999</v>
      </c>
      <c r="L32" s="56">
        <f t="shared" ref="L32:L42" si="16">I32/K31</f>
        <v>0.30002933248598013</v>
      </c>
      <c r="M32" s="22"/>
      <c r="P32" s="6">
        <v>42962</v>
      </c>
      <c r="Q32" s="29">
        <f t="shared" si="11"/>
        <v>50375.677099999994</v>
      </c>
      <c r="R32" s="6">
        <v>42962</v>
      </c>
      <c r="S32" s="7">
        <f>U32</f>
        <v>1207.125</v>
      </c>
      <c r="T32" s="7"/>
      <c r="U32" s="27">
        <f t="shared" si="13"/>
        <v>1207.125</v>
      </c>
    </row>
    <row r="33" spans="4:21" ht="18" customHeight="1" x14ac:dyDescent="0.3">
      <c r="D33" s="51">
        <v>42809</v>
      </c>
      <c r="E33" s="53">
        <f t="shared" si="15"/>
        <v>34990.118399999999</v>
      </c>
      <c r="F33" s="95">
        <v>0</v>
      </c>
      <c r="G33" s="53">
        <v>0</v>
      </c>
      <c r="H33" s="54">
        <v>13687.5</v>
      </c>
      <c r="I33" s="53">
        <f>H33*B15</f>
        <v>5064.375</v>
      </c>
      <c r="J33" s="55">
        <f t="shared" si="14"/>
        <v>5064.375</v>
      </c>
      <c r="K33" s="53">
        <f>I33+E33</f>
        <v>40054.493399999999</v>
      </c>
      <c r="L33" s="56">
        <f t="shared" si="16"/>
        <v>0.14473729245797579</v>
      </c>
      <c r="M33" s="2"/>
      <c r="P33" s="6">
        <v>42993</v>
      </c>
      <c r="Q33" s="29">
        <f t="shared" si="11"/>
        <v>47333.077099999995</v>
      </c>
      <c r="R33" s="6">
        <v>42993</v>
      </c>
      <c r="S33" s="9"/>
      <c r="T33" s="9">
        <f>U33</f>
        <v>-3042.6000000000004</v>
      </c>
      <c r="U33" s="27">
        <f t="shared" si="13"/>
        <v>-3042.6000000000004</v>
      </c>
    </row>
    <row r="34" spans="4:21" ht="18" customHeight="1" x14ac:dyDescent="0.3">
      <c r="D34" s="51">
        <v>42840</v>
      </c>
      <c r="E34" s="53">
        <f t="shared" si="15"/>
        <v>40054.493399999999</v>
      </c>
      <c r="F34" s="95">
        <v>0</v>
      </c>
      <c r="G34" s="53">
        <v>0</v>
      </c>
      <c r="H34" s="54">
        <v>3912.5</v>
      </c>
      <c r="I34" s="53">
        <f>H34*B15</f>
        <v>1447.625</v>
      </c>
      <c r="J34" s="55">
        <f t="shared" si="14"/>
        <v>1447.625</v>
      </c>
      <c r="K34" s="53">
        <f t="shared" ref="K34:K42" si="17">K33+I34</f>
        <v>41502.118399999999</v>
      </c>
      <c r="L34" s="56">
        <f t="shared" si="16"/>
        <v>3.61413883217407E-2</v>
      </c>
      <c r="M34" s="2"/>
      <c r="P34" s="6">
        <v>43023</v>
      </c>
      <c r="Q34" s="29">
        <f t="shared" si="11"/>
        <v>46323.151699999995</v>
      </c>
      <c r="R34" s="6">
        <v>43023</v>
      </c>
      <c r="S34" s="9"/>
      <c r="T34" s="9">
        <f>U34</f>
        <v>-1009.9254000000001</v>
      </c>
      <c r="U34" s="27">
        <f t="shared" si="13"/>
        <v>-1009.9254000000001</v>
      </c>
    </row>
    <row r="35" spans="4:21" ht="18" customHeight="1" x14ac:dyDescent="0.3">
      <c r="D35" s="51">
        <v>42870</v>
      </c>
      <c r="E35" s="53">
        <f t="shared" si="15"/>
        <v>41502.118399999999</v>
      </c>
      <c r="F35" s="95">
        <v>0</v>
      </c>
      <c r="G35" s="53">
        <v>0</v>
      </c>
      <c r="H35" s="54">
        <v>4237.5</v>
      </c>
      <c r="I35" s="53">
        <f>H35*B15</f>
        <v>1567.875</v>
      </c>
      <c r="J35" s="55">
        <f t="shared" si="14"/>
        <v>1567.875</v>
      </c>
      <c r="K35" s="53">
        <f t="shared" si="17"/>
        <v>43069.993399999999</v>
      </c>
      <c r="L35" s="56">
        <f t="shared" si="16"/>
        <v>3.7778192064528447E-2</v>
      </c>
      <c r="M35" s="2"/>
      <c r="P35" s="6">
        <v>43054</v>
      </c>
      <c r="Q35" s="29">
        <f t="shared" si="11"/>
        <v>52400.438699999992</v>
      </c>
      <c r="R35" s="6">
        <v>43054</v>
      </c>
      <c r="S35" s="7">
        <f>U35</f>
        <v>6077.2869999999994</v>
      </c>
      <c r="T35" s="8"/>
      <c r="U35" s="27">
        <f t="shared" si="13"/>
        <v>6077.2869999999994</v>
      </c>
    </row>
    <row r="36" spans="4:21" ht="18" customHeight="1" x14ac:dyDescent="0.3">
      <c r="D36" s="51">
        <v>42901</v>
      </c>
      <c r="E36" s="53">
        <f t="shared" si="15"/>
        <v>43069.993399999999</v>
      </c>
      <c r="F36" s="95">
        <v>0</v>
      </c>
      <c r="G36" s="53">
        <v>0</v>
      </c>
      <c r="H36" s="57">
        <v>-6250</v>
      </c>
      <c r="I36" s="53">
        <f>H36*B14</f>
        <v>-2062.5</v>
      </c>
      <c r="J36" s="63">
        <f>SUM(J32:J35)</f>
        <v>16155.125</v>
      </c>
      <c r="K36" s="53">
        <f t="shared" si="17"/>
        <v>41007.493399999999</v>
      </c>
      <c r="L36" s="56">
        <f t="shared" si="16"/>
        <v>-4.7887167774676276E-2</v>
      </c>
      <c r="M36" s="2"/>
      <c r="P36" s="6">
        <v>43084</v>
      </c>
      <c r="Q36" s="29">
        <f t="shared" si="11"/>
        <v>51373.399499999992</v>
      </c>
      <c r="R36" s="6">
        <v>43084</v>
      </c>
      <c r="S36" s="9"/>
      <c r="T36" s="9">
        <f>U36</f>
        <v>-1027.0391999999999</v>
      </c>
      <c r="U36" s="27">
        <f t="shared" si="13"/>
        <v>-1027.0391999999999</v>
      </c>
    </row>
    <row r="37" spans="4:21" ht="18" customHeight="1" x14ac:dyDescent="0.3">
      <c r="D37" s="51">
        <v>42931</v>
      </c>
      <c r="E37" s="53">
        <f t="shared" si="15"/>
        <v>41007.493399999999</v>
      </c>
      <c r="F37" s="95">
        <v>0</v>
      </c>
      <c r="G37" s="53">
        <v>0</v>
      </c>
      <c r="H37" s="54">
        <v>19300</v>
      </c>
      <c r="I37" s="53">
        <f>H37*B15</f>
        <v>7141</v>
      </c>
      <c r="J37" s="55">
        <f t="shared" si="14"/>
        <v>7141</v>
      </c>
      <c r="K37" s="53">
        <f t="shared" si="17"/>
        <v>48148.493399999999</v>
      </c>
      <c r="L37" s="56">
        <f t="shared" si="16"/>
        <v>0.17413890506167831</v>
      </c>
      <c r="M37" s="2"/>
      <c r="P37" s="6">
        <v>42751</v>
      </c>
      <c r="Q37" s="29">
        <f>Q36+U37</f>
        <v>60753.27689999999</v>
      </c>
      <c r="R37" s="6">
        <v>42751</v>
      </c>
      <c r="S37" s="7">
        <f>U37</f>
        <v>9379.8773999999994</v>
      </c>
      <c r="T37" s="8"/>
      <c r="U37" s="27">
        <f t="shared" ref="U37:U48" si="18">I46</f>
        <v>9379.8773999999994</v>
      </c>
    </row>
    <row r="38" spans="4:21" ht="18" customHeight="1" x14ac:dyDescent="0.3">
      <c r="D38" s="51">
        <v>42962</v>
      </c>
      <c r="E38" s="53">
        <f t="shared" si="15"/>
        <v>48148.493399999999</v>
      </c>
      <c r="F38" s="95">
        <v>0</v>
      </c>
      <c r="G38" s="53">
        <v>0</v>
      </c>
      <c r="H38" s="54">
        <v>3262.5</v>
      </c>
      <c r="I38" s="53">
        <f>H38*B15</f>
        <v>1207.125</v>
      </c>
      <c r="J38" s="55">
        <f t="shared" si="14"/>
        <v>1207.125</v>
      </c>
      <c r="K38" s="53">
        <f t="shared" si="17"/>
        <v>49355.618399999999</v>
      </c>
      <c r="L38" s="56">
        <f t="shared" si="16"/>
        <v>2.5070877918684783E-2</v>
      </c>
      <c r="M38" s="2"/>
      <c r="P38" s="6">
        <v>42782</v>
      </c>
      <c r="Q38" s="29">
        <f t="shared" si="11"/>
        <v>68456.906299999988</v>
      </c>
      <c r="R38" s="6">
        <v>42782</v>
      </c>
      <c r="S38" s="7">
        <f>U38</f>
        <v>7703.6293999999998</v>
      </c>
      <c r="T38" s="8"/>
      <c r="U38" s="27">
        <f t="shared" si="18"/>
        <v>7703.6293999999998</v>
      </c>
    </row>
    <row r="39" spans="4:21" ht="18" customHeight="1" x14ac:dyDescent="0.25">
      <c r="D39" s="51">
        <v>42993</v>
      </c>
      <c r="E39" s="53">
        <f t="shared" si="15"/>
        <v>49355.618399999999</v>
      </c>
      <c r="F39" s="95">
        <v>0</v>
      </c>
      <c r="G39" s="53">
        <v>0</v>
      </c>
      <c r="H39" s="57">
        <v>-9220</v>
      </c>
      <c r="I39" s="53">
        <f>H39*B14</f>
        <v>-3042.6000000000004</v>
      </c>
      <c r="J39" s="55">
        <f t="shared" si="14"/>
        <v>-3042.6000000000004</v>
      </c>
      <c r="K39" s="53">
        <f t="shared" si="17"/>
        <v>46313.018400000001</v>
      </c>
      <c r="L39" s="56">
        <f t="shared" si="16"/>
        <v>-6.1646477111104346E-2</v>
      </c>
      <c r="M39" s="2"/>
      <c r="O39" s="31">
        <f>I39</f>
        <v>-3042.6000000000004</v>
      </c>
      <c r="P39" s="6">
        <v>42810</v>
      </c>
      <c r="Q39" s="29">
        <f t="shared" si="11"/>
        <v>69582.679399999994</v>
      </c>
      <c r="R39" s="6">
        <v>42810</v>
      </c>
      <c r="S39" s="7">
        <f>U39</f>
        <v>1125.7731000000001</v>
      </c>
      <c r="T39" s="7"/>
      <c r="U39" s="27">
        <f t="shared" si="18"/>
        <v>1125.7731000000001</v>
      </c>
    </row>
    <row r="40" spans="4:21" ht="18" customHeight="1" x14ac:dyDescent="0.3">
      <c r="D40" s="51">
        <v>43023</v>
      </c>
      <c r="E40" s="53">
        <f t="shared" si="15"/>
        <v>46313.018400000001</v>
      </c>
      <c r="F40" s="95">
        <v>0</v>
      </c>
      <c r="G40" s="53">
        <v>0</v>
      </c>
      <c r="H40" s="57">
        <v>-3060.38</v>
      </c>
      <c r="I40" s="53">
        <f>H40*B14</f>
        <v>-1009.9254000000001</v>
      </c>
      <c r="J40" s="55">
        <f t="shared" si="14"/>
        <v>-1009.9254000000001</v>
      </c>
      <c r="K40" s="53">
        <f t="shared" si="17"/>
        <v>45303.093000000001</v>
      </c>
      <c r="L40" s="56">
        <f t="shared" si="16"/>
        <v>-2.1806512183623946E-2</v>
      </c>
      <c r="M40" s="2"/>
      <c r="O40" s="31">
        <f>I40</f>
        <v>-1009.9254000000001</v>
      </c>
      <c r="P40" s="6">
        <v>42841</v>
      </c>
      <c r="Q40" s="29">
        <f t="shared" si="11"/>
        <v>72256.484399999987</v>
      </c>
      <c r="R40" s="6">
        <v>42841</v>
      </c>
      <c r="S40" s="7">
        <f>U40</f>
        <v>2673.8049999999998</v>
      </c>
      <c r="T40" s="8"/>
      <c r="U40" s="27">
        <f t="shared" si="18"/>
        <v>2673.8049999999998</v>
      </c>
    </row>
    <row r="41" spans="4:21" ht="18" customHeight="1" x14ac:dyDescent="0.3">
      <c r="D41" s="51">
        <v>43054</v>
      </c>
      <c r="E41" s="53">
        <f t="shared" si="15"/>
        <v>45303.093000000001</v>
      </c>
      <c r="F41" s="95">
        <v>0</v>
      </c>
      <c r="G41" s="53">
        <v>0</v>
      </c>
      <c r="H41" s="54">
        <v>16425.099999999999</v>
      </c>
      <c r="I41" s="53">
        <f>H41*B15</f>
        <v>6077.2869999999994</v>
      </c>
      <c r="J41" s="55">
        <f t="shared" si="14"/>
        <v>6077.2869999999994</v>
      </c>
      <c r="K41" s="53">
        <f t="shared" si="17"/>
        <v>51380.38</v>
      </c>
      <c r="L41" s="56">
        <f t="shared" si="16"/>
        <v>0.13414728658813646</v>
      </c>
      <c r="M41" s="2"/>
      <c r="O41" s="37">
        <f>SUM(O39:O40)</f>
        <v>-4052.5254000000004</v>
      </c>
      <c r="P41" s="6">
        <v>42871</v>
      </c>
      <c r="Q41" s="29">
        <f t="shared" si="11"/>
        <v>70575.248799999987</v>
      </c>
      <c r="R41" s="6">
        <v>42871</v>
      </c>
      <c r="S41" s="9"/>
      <c r="T41" s="9">
        <f>U41</f>
        <v>-1681.2356</v>
      </c>
      <c r="U41" s="27">
        <f t="shared" si="18"/>
        <v>-1681.2356</v>
      </c>
    </row>
    <row r="42" spans="4:21" ht="18" customHeight="1" x14ac:dyDescent="0.25">
      <c r="D42" s="51">
        <v>43084</v>
      </c>
      <c r="E42" s="53">
        <f t="shared" si="15"/>
        <v>51380.38</v>
      </c>
      <c r="F42" s="95">
        <v>0</v>
      </c>
      <c r="G42" s="53">
        <v>0</v>
      </c>
      <c r="H42" s="57">
        <v>-3112.24</v>
      </c>
      <c r="I42" s="53">
        <f>H42*B14</f>
        <v>-1027.0391999999999</v>
      </c>
      <c r="J42" s="55">
        <f t="shared" si="14"/>
        <v>-1027.0391999999999</v>
      </c>
      <c r="K42" s="53">
        <f t="shared" si="17"/>
        <v>50353.340799999998</v>
      </c>
      <c r="L42" s="56">
        <f t="shared" si="16"/>
        <v>-1.998893741151778E-2</v>
      </c>
      <c r="M42" s="2"/>
      <c r="P42" s="6">
        <v>42902</v>
      </c>
      <c r="Q42" s="29">
        <f t="shared" si="11"/>
        <v>75209.572799999994</v>
      </c>
      <c r="R42" s="6">
        <v>42902</v>
      </c>
      <c r="S42" s="7">
        <f>U42</f>
        <v>4634.3240000000005</v>
      </c>
      <c r="T42" s="7"/>
      <c r="U42" s="27">
        <f t="shared" si="18"/>
        <v>4634.3240000000005</v>
      </c>
    </row>
    <row r="43" spans="4:21" ht="18" customHeight="1" x14ac:dyDescent="0.3">
      <c r="H43" s="58" t="s">
        <v>11</v>
      </c>
      <c r="I43" s="46" t="s">
        <v>11</v>
      </c>
      <c r="L43" s="46" t="s">
        <v>12</v>
      </c>
      <c r="M43" s="1"/>
      <c r="P43" s="6">
        <v>42932</v>
      </c>
      <c r="Q43" s="29">
        <f t="shared" si="11"/>
        <v>73996.822799999994</v>
      </c>
      <c r="R43" s="6">
        <v>42932</v>
      </c>
      <c r="S43" s="9"/>
      <c r="T43" s="9">
        <f>U43</f>
        <v>-1212.75</v>
      </c>
      <c r="U43" s="27">
        <f t="shared" si="18"/>
        <v>-1212.75</v>
      </c>
    </row>
    <row r="44" spans="4:21" ht="18" customHeight="1" x14ac:dyDescent="0.3">
      <c r="H44" s="59">
        <v>66182.8</v>
      </c>
      <c r="I44" s="52">
        <f>SUM(I31:I43)</f>
        <v>25353.340800000002</v>
      </c>
      <c r="J44" s="55"/>
      <c r="K44" s="66"/>
      <c r="L44" s="61">
        <f>I44/B13</f>
        <v>1.2676670400000001</v>
      </c>
      <c r="M44" s="22">
        <f>I44</f>
        <v>25353.340800000002</v>
      </c>
      <c r="N44" s="1">
        <v>12</v>
      </c>
      <c r="P44" s="6">
        <v>42963</v>
      </c>
      <c r="Q44" s="29">
        <f t="shared" si="11"/>
        <v>71282.902799999996</v>
      </c>
      <c r="R44" s="6">
        <v>42963</v>
      </c>
      <c r="S44" s="9"/>
      <c r="T44" s="9">
        <f>U44</f>
        <v>-2713.92</v>
      </c>
      <c r="U44" s="27">
        <f t="shared" si="18"/>
        <v>-2713.92</v>
      </c>
    </row>
    <row r="45" spans="4:21" ht="18" customHeight="1" x14ac:dyDescent="0.3">
      <c r="H45" s="62"/>
      <c r="M45" s="1"/>
      <c r="P45" s="6">
        <v>42994</v>
      </c>
      <c r="Q45" s="29">
        <f t="shared" si="11"/>
        <v>69533.902799999996</v>
      </c>
      <c r="R45" s="6">
        <v>42994</v>
      </c>
      <c r="S45" s="9"/>
      <c r="T45" s="9">
        <f>U45</f>
        <v>-1749</v>
      </c>
      <c r="U45" s="27">
        <f t="shared" si="18"/>
        <v>-1749</v>
      </c>
    </row>
    <row r="46" spans="4:21" ht="18" customHeight="1" x14ac:dyDescent="0.3">
      <c r="D46" s="51">
        <v>42751</v>
      </c>
      <c r="E46" s="53">
        <f>E31</f>
        <v>25000</v>
      </c>
      <c r="F46" s="95">
        <v>0</v>
      </c>
      <c r="G46" s="53">
        <f>-I44</f>
        <v>-25353.340800000002</v>
      </c>
      <c r="H46" s="54">
        <v>25351.02</v>
      </c>
      <c r="I46" s="53">
        <f>H46*B15</f>
        <v>9379.8773999999994</v>
      </c>
      <c r="J46" s="55">
        <f t="shared" ref="J46:J57" si="19">I46</f>
        <v>9379.8773999999994</v>
      </c>
      <c r="K46" s="53">
        <f>I46+B13</f>
        <v>29379.877399999998</v>
      </c>
      <c r="L46" s="56">
        <f>I46/B13</f>
        <v>0.46899386999999998</v>
      </c>
      <c r="M46" s="2"/>
      <c r="P46" s="6">
        <v>43024</v>
      </c>
      <c r="Q46" s="29">
        <f t="shared" si="11"/>
        <v>67827.277799999996</v>
      </c>
      <c r="R46" s="6">
        <v>43024</v>
      </c>
      <c r="S46" s="7"/>
      <c r="T46" s="9">
        <f>U46</f>
        <v>-1706.625</v>
      </c>
      <c r="U46" s="27">
        <f t="shared" si="18"/>
        <v>-1706.625</v>
      </c>
    </row>
    <row r="47" spans="4:21" ht="18" customHeight="1" x14ac:dyDescent="0.3">
      <c r="D47" s="51">
        <v>42782</v>
      </c>
      <c r="E47" s="53">
        <f t="shared" ref="E47:E57" si="20">E46+I46</f>
        <v>34379.877399999998</v>
      </c>
      <c r="F47" s="95">
        <v>0</v>
      </c>
      <c r="G47" s="53">
        <v>0</v>
      </c>
      <c r="H47" s="54">
        <v>20820.62</v>
      </c>
      <c r="I47" s="53">
        <f>H47*B15</f>
        <v>7703.6293999999998</v>
      </c>
      <c r="J47" s="55">
        <f t="shared" si="19"/>
        <v>7703.6293999999998</v>
      </c>
      <c r="K47" s="53">
        <f t="shared" ref="K47:K57" si="21">E47+I47</f>
        <v>42083.506799999996</v>
      </c>
      <c r="L47" s="56">
        <f t="shared" ref="L47:L57" si="22">I47/K46</f>
        <v>0.26220767687750801</v>
      </c>
      <c r="M47" s="2"/>
      <c r="P47" s="6">
        <v>43055</v>
      </c>
      <c r="Q47" s="29">
        <f t="shared" si="11"/>
        <v>77761.777799999996</v>
      </c>
      <c r="R47" s="6">
        <v>43055</v>
      </c>
      <c r="S47" s="7">
        <f>U47</f>
        <v>9934.5</v>
      </c>
      <c r="T47" s="8"/>
      <c r="U47" s="27">
        <f t="shared" si="18"/>
        <v>9934.5</v>
      </c>
    </row>
    <row r="48" spans="4:21" ht="18" customHeight="1" x14ac:dyDescent="0.3">
      <c r="D48" s="51">
        <v>42810</v>
      </c>
      <c r="E48" s="53">
        <f t="shared" si="20"/>
        <v>42083.506799999996</v>
      </c>
      <c r="F48" s="95">
        <v>0</v>
      </c>
      <c r="G48" s="53">
        <v>0</v>
      </c>
      <c r="H48" s="54">
        <v>3042.63</v>
      </c>
      <c r="I48" s="53">
        <f>H48*B15</f>
        <v>1125.7731000000001</v>
      </c>
      <c r="J48" s="55">
        <f t="shared" si="19"/>
        <v>1125.7731000000001</v>
      </c>
      <c r="K48" s="53">
        <f t="shared" si="21"/>
        <v>43209.279899999994</v>
      </c>
      <c r="L48" s="56">
        <f t="shared" si="22"/>
        <v>2.6750933693577082E-2</v>
      </c>
      <c r="M48" s="2"/>
      <c r="P48" s="6">
        <v>43085</v>
      </c>
      <c r="Q48" s="29">
        <f t="shared" si="11"/>
        <v>79378.211599999995</v>
      </c>
      <c r="R48" s="6">
        <v>43085</v>
      </c>
      <c r="S48" s="7">
        <f>U48</f>
        <v>1616.4337999999998</v>
      </c>
      <c r="T48" s="8"/>
      <c r="U48" s="27">
        <f t="shared" si="18"/>
        <v>1616.4337999999998</v>
      </c>
    </row>
    <row r="49" spans="4:21" ht="18" customHeight="1" x14ac:dyDescent="0.25">
      <c r="D49" s="51">
        <v>42841</v>
      </c>
      <c r="E49" s="53">
        <f t="shared" si="20"/>
        <v>43209.279899999994</v>
      </c>
      <c r="F49" s="95">
        <v>0</v>
      </c>
      <c r="G49" s="53">
        <v>0</v>
      </c>
      <c r="H49" s="54">
        <v>7226.5</v>
      </c>
      <c r="I49" s="53">
        <f>H49*B15</f>
        <v>2673.8049999999998</v>
      </c>
      <c r="J49" s="55">
        <f t="shared" si="19"/>
        <v>2673.8049999999998</v>
      </c>
      <c r="K49" s="53">
        <f t="shared" si="21"/>
        <v>45883.084899999994</v>
      </c>
      <c r="L49" s="56">
        <f t="shared" si="22"/>
        <v>6.1880341588381807E-2</v>
      </c>
      <c r="M49" s="2"/>
      <c r="P49" s="6">
        <v>42752</v>
      </c>
      <c r="Q49" s="29">
        <f>Q48+U49</f>
        <v>83281.711599999995</v>
      </c>
      <c r="R49" s="6">
        <v>42752</v>
      </c>
      <c r="S49" s="7">
        <f>U49</f>
        <v>3903.5</v>
      </c>
      <c r="T49" s="7"/>
      <c r="U49" s="27">
        <f t="shared" ref="U49:U60" si="23">I61</f>
        <v>3903.5</v>
      </c>
    </row>
    <row r="50" spans="4:21" ht="18" customHeight="1" x14ac:dyDescent="0.3">
      <c r="D50" s="51">
        <v>42871</v>
      </c>
      <c r="E50" s="53">
        <f t="shared" si="20"/>
        <v>45883.084899999994</v>
      </c>
      <c r="F50" s="95">
        <v>0</v>
      </c>
      <c r="G50" s="53">
        <v>0</v>
      </c>
      <c r="H50" s="54">
        <v>-4543.88</v>
      </c>
      <c r="I50" s="53">
        <f>H50*B15</f>
        <v>-1681.2356</v>
      </c>
      <c r="J50" s="55">
        <f t="shared" si="19"/>
        <v>-1681.2356</v>
      </c>
      <c r="K50" s="53">
        <f t="shared" si="21"/>
        <v>44201.849299999994</v>
      </c>
      <c r="L50" s="56">
        <f t="shared" si="22"/>
        <v>-3.6641729815337684E-2</v>
      </c>
      <c r="M50" s="2"/>
      <c r="P50" s="6">
        <v>42783</v>
      </c>
      <c r="Q50" s="29">
        <f t="shared" si="11"/>
        <v>86146.910199999998</v>
      </c>
      <c r="R50" s="6">
        <v>42783</v>
      </c>
      <c r="S50" s="7">
        <f>U50</f>
        <v>2865.1985999999997</v>
      </c>
      <c r="T50" s="8"/>
      <c r="U50" s="27">
        <f t="shared" si="23"/>
        <v>2865.1985999999997</v>
      </c>
    </row>
    <row r="51" spans="4:21" ht="18" customHeight="1" x14ac:dyDescent="0.3">
      <c r="D51" s="51">
        <v>42902</v>
      </c>
      <c r="E51" s="53">
        <f t="shared" si="20"/>
        <v>44201.849299999994</v>
      </c>
      <c r="F51" s="95">
        <v>0</v>
      </c>
      <c r="G51" s="53">
        <v>0</v>
      </c>
      <c r="H51" s="54">
        <v>12525.2</v>
      </c>
      <c r="I51" s="53">
        <f>H51*B15</f>
        <v>4634.3240000000005</v>
      </c>
      <c r="J51" s="55">
        <f t="shared" si="19"/>
        <v>4634.3240000000005</v>
      </c>
      <c r="K51" s="53">
        <f t="shared" si="21"/>
        <v>48836.173299999995</v>
      </c>
      <c r="L51" s="56">
        <f t="shared" si="22"/>
        <v>0.10484457264551601</v>
      </c>
      <c r="M51" s="2"/>
      <c r="P51" s="6">
        <v>42811</v>
      </c>
      <c r="Q51" s="29">
        <f t="shared" si="11"/>
        <v>84345.110199999996</v>
      </c>
      <c r="R51" s="6">
        <v>42811</v>
      </c>
      <c r="S51" s="7"/>
      <c r="T51" s="9">
        <f>U51</f>
        <v>-1801.8000000000002</v>
      </c>
      <c r="U51" s="27">
        <f t="shared" si="23"/>
        <v>-1801.8000000000002</v>
      </c>
    </row>
    <row r="52" spans="4:21" ht="18" customHeight="1" x14ac:dyDescent="0.3">
      <c r="D52" s="51">
        <v>42932</v>
      </c>
      <c r="E52" s="53">
        <f t="shared" si="20"/>
        <v>48836.173299999995</v>
      </c>
      <c r="F52" s="95">
        <v>0</v>
      </c>
      <c r="G52" s="53">
        <v>0</v>
      </c>
      <c r="H52" s="54">
        <v>-3675</v>
      </c>
      <c r="I52" s="53">
        <f>H52*B14</f>
        <v>-1212.75</v>
      </c>
      <c r="J52" s="55">
        <f t="shared" si="19"/>
        <v>-1212.75</v>
      </c>
      <c r="K52" s="53">
        <f t="shared" si="21"/>
        <v>47623.423299999995</v>
      </c>
      <c r="L52" s="56">
        <f t="shared" si="22"/>
        <v>-2.4833026792457552E-2</v>
      </c>
      <c r="M52" s="2"/>
      <c r="O52" s="31">
        <f>I52</f>
        <v>-1212.75</v>
      </c>
      <c r="P52" s="6">
        <v>42842</v>
      </c>
      <c r="Q52" s="29">
        <f t="shared" ref="Q52:Q80" si="24">Q51+U52</f>
        <v>83745.170199999993</v>
      </c>
      <c r="R52" s="6">
        <v>42842</v>
      </c>
      <c r="S52" s="8"/>
      <c r="T52" s="9">
        <f>U52</f>
        <v>-599.94000000000005</v>
      </c>
      <c r="U52" s="27">
        <f t="shared" si="23"/>
        <v>-599.94000000000005</v>
      </c>
    </row>
    <row r="53" spans="4:21" ht="18" customHeight="1" x14ac:dyDescent="0.3">
      <c r="D53" s="51">
        <v>42963</v>
      </c>
      <c r="E53" s="53">
        <f t="shared" si="20"/>
        <v>47623.423299999995</v>
      </c>
      <c r="F53" s="95">
        <v>0</v>
      </c>
      <c r="G53" s="53">
        <v>0</v>
      </c>
      <c r="H53" s="57">
        <v>-8224</v>
      </c>
      <c r="I53" s="53">
        <f>H53*B14</f>
        <v>-2713.92</v>
      </c>
      <c r="J53" s="55">
        <f t="shared" si="19"/>
        <v>-2713.92</v>
      </c>
      <c r="K53" s="53">
        <f t="shared" si="21"/>
        <v>44909.503299999997</v>
      </c>
      <c r="L53" s="56">
        <f t="shared" si="22"/>
        <v>-5.6987083496788445E-2</v>
      </c>
      <c r="M53" s="2"/>
      <c r="O53" s="31">
        <f>I53</f>
        <v>-2713.92</v>
      </c>
      <c r="P53" s="6">
        <v>42872</v>
      </c>
      <c r="Q53" s="29">
        <f t="shared" si="24"/>
        <v>82946.43819999999</v>
      </c>
      <c r="R53" s="6">
        <v>42872</v>
      </c>
      <c r="S53" s="8"/>
      <c r="T53" s="9">
        <f>U53</f>
        <v>-798.73200000000008</v>
      </c>
      <c r="U53" s="27">
        <f t="shared" si="23"/>
        <v>-798.73200000000008</v>
      </c>
    </row>
    <row r="54" spans="4:21" ht="18" customHeight="1" x14ac:dyDescent="0.3">
      <c r="D54" s="51">
        <v>42994</v>
      </c>
      <c r="E54" s="53">
        <f t="shared" si="20"/>
        <v>44909.503299999997</v>
      </c>
      <c r="F54" s="95">
        <v>0</v>
      </c>
      <c r="G54" s="53">
        <v>0</v>
      </c>
      <c r="H54" s="57">
        <v>-5300</v>
      </c>
      <c r="I54" s="53">
        <f>H54*B14</f>
        <v>-1749</v>
      </c>
      <c r="J54" s="55">
        <f t="shared" si="19"/>
        <v>-1749</v>
      </c>
      <c r="K54" s="53">
        <f t="shared" si="21"/>
        <v>43160.503299999997</v>
      </c>
      <c r="L54" s="56">
        <f t="shared" si="22"/>
        <v>-3.8944986505784845E-2</v>
      </c>
      <c r="M54" s="2"/>
      <c r="O54" s="31">
        <f>I54</f>
        <v>-1749</v>
      </c>
      <c r="P54" s="6">
        <v>42903</v>
      </c>
      <c r="Q54" s="29">
        <f t="shared" si="24"/>
        <v>82761.252099999983</v>
      </c>
      <c r="R54" s="6">
        <v>42903</v>
      </c>
      <c r="S54" s="7"/>
      <c r="T54" s="9">
        <f>U54</f>
        <v>-185.18609999999998</v>
      </c>
      <c r="U54" s="27">
        <f t="shared" si="23"/>
        <v>-185.18609999999998</v>
      </c>
    </row>
    <row r="55" spans="4:21" ht="18" customHeight="1" x14ac:dyDescent="0.3">
      <c r="D55" s="51">
        <v>43024</v>
      </c>
      <c r="E55" s="53">
        <f t="shared" si="20"/>
        <v>43160.503299999997</v>
      </c>
      <c r="F55" s="95">
        <v>0</v>
      </c>
      <c r="G55" s="53">
        <v>0</v>
      </c>
      <c r="H55" s="54">
        <v>-4612.5</v>
      </c>
      <c r="I55" s="53">
        <f>H55*B15</f>
        <v>-1706.625</v>
      </c>
      <c r="J55" s="63">
        <f>SUM(J52:J54)</f>
        <v>-5675.67</v>
      </c>
      <c r="K55" s="53">
        <f t="shared" si="21"/>
        <v>41453.878299999997</v>
      </c>
      <c r="L55" s="56">
        <f t="shared" si="22"/>
        <v>-3.954136002857965E-2</v>
      </c>
      <c r="M55" s="2"/>
      <c r="O55" s="31">
        <f>I55</f>
        <v>-1706.625</v>
      </c>
      <c r="P55" s="6">
        <v>42933</v>
      </c>
      <c r="Q55" s="29">
        <f t="shared" si="24"/>
        <v>80742.312099999981</v>
      </c>
      <c r="R55" s="6">
        <v>42933</v>
      </c>
      <c r="S55" s="7"/>
      <c r="T55" s="9">
        <f>U55</f>
        <v>-2018.94</v>
      </c>
      <c r="U55" s="27">
        <f t="shared" si="23"/>
        <v>-2018.94</v>
      </c>
    </row>
    <row r="56" spans="4:21" ht="18" customHeight="1" x14ac:dyDescent="0.3">
      <c r="D56" s="51">
        <v>43055</v>
      </c>
      <c r="E56" s="53">
        <f t="shared" si="20"/>
        <v>41453.878299999997</v>
      </c>
      <c r="F56" s="95">
        <v>0</v>
      </c>
      <c r="G56" s="53">
        <v>0</v>
      </c>
      <c r="H56" s="54">
        <v>26850</v>
      </c>
      <c r="I56" s="53">
        <f>H56*B15</f>
        <v>9934.5</v>
      </c>
      <c r="J56" s="55">
        <f t="shared" si="19"/>
        <v>9934.5</v>
      </c>
      <c r="K56" s="53">
        <f t="shared" si="21"/>
        <v>51388.378299999997</v>
      </c>
      <c r="L56" s="56">
        <f t="shared" si="22"/>
        <v>0.23965188318700692</v>
      </c>
      <c r="M56" s="2"/>
      <c r="O56" s="37">
        <f>SUM(O52:O55)</f>
        <v>-7382.2950000000001</v>
      </c>
      <c r="P56" s="6">
        <v>42964</v>
      </c>
      <c r="Q56" s="29">
        <f t="shared" si="24"/>
        <v>86775.162099999987</v>
      </c>
      <c r="R56" s="6">
        <v>42964</v>
      </c>
      <c r="S56" s="7">
        <f>U56</f>
        <v>6032.85</v>
      </c>
      <c r="T56" s="9"/>
      <c r="U56" s="27">
        <f t="shared" si="23"/>
        <v>6032.85</v>
      </c>
    </row>
    <row r="57" spans="4:21" ht="18" customHeight="1" x14ac:dyDescent="0.3">
      <c r="D57" s="51">
        <v>43085</v>
      </c>
      <c r="E57" s="53">
        <f t="shared" si="20"/>
        <v>51388.378299999997</v>
      </c>
      <c r="F57" s="95">
        <v>0</v>
      </c>
      <c r="G57" s="53">
        <v>0</v>
      </c>
      <c r="H57" s="54">
        <v>4368.74</v>
      </c>
      <c r="I57" s="53">
        <f>H57*B15</f>
        <v>1616.4337999999998</v>
      </c>
      <c r="J57" s="55">
        <f t="shared" si="19"/>
        <v>1616.4337999999998</v>
      </c>
      <c r="K57" s="53">
        <f t="shared" si="21"/>
        <v>53004.812099999996</v>
      </c>
      <c r="L57" s="56">
        <f t="shared" si="22"/>
        <v>3.1455240532468794E-2</v>
      </c>
      <c r="M57" s="2"/>
      <c r="P57" s="6">
        <v>42995</v>
      </c>
      <c r="Q57" s="29">
        <f t="shared" si="24"/>
        <v>85046.490099999981</v>
      </c>
      <c r="R57" s="6">
        <v>42995</v>
      </c>
      <c r="S57" s="8"/>
      <c r="T57" s="9">
        <f>U57</f>
        <v>-1728.672</v>
      </c>
      <c r="U57" s="27">
        <f t="shared" si="23"/>
        <v>-1728.672</v>
      </c>
    </row>
    <row r="58" spans="4:21" ht="18" customHeight="1" x14ac:dyDescent="0.3">
      <c r="H58" s="58" t="s">
        <v>11</v>
      </c>
      <c r="I58" s="46" t="s">
        <v>11</v>
      </c>
      <c r="L58" s="67" t="s">
        <v>12</v>
      </c>
      <c r="M58" s="1"/>
      <c r="P58" s="6">
        <v>43025</v>
      </c>
      <c r="Q58" s="29">
        <f t="shared" si="24"/>
        <v>88243.082899999979</v>
      </c>
      <c r="R58" s="6">
        <v>43025</v>
      </c>
      <c r="S58" s="7">
        <f>U58</f>
        <v>3196.5928000000004</v>
      </c>
      <c r="T58" s="8"/>
      <c r="U58" s="27">
        <f t="shared" si="23"/>
        <v>3196.5928000000004</v>
      </c>
    </row>
    <row r="59" spans="4:21" ht="18" customHeight="1" x14ac:dyDescent="0.25">
      <c r="H59" s="59">
        <v>99492.09</v>
      </c>
      <c r="I59" s="52">
        <f>SUM(I46:I58)</f>
        <v>28004.812099999996</v>
      </c>
      <c r="J59" s="55"/>
      <c r="K59" s="60"/>
      <c r="L59" s="61">
        <f>I59/B13</f>
        <v>1.4002406049999998</v>
      </c>
      <c r="M59" s="22">
        <f>I59</f>
        <v>28004.812099999996</v>
      </c>
      <c r="N59" s="1">
        <v>12</v>
      </c>
      <c r="P59" s="6">
        <v>43056</v>
      </c>
      <c r="Q59" s="29">
        <f t="shared" si="24"/>
        <v>91130.377899999978</v>
      </c>
      <c r="R59" s="6">
        <v>43056</v>
      </c>
      <c r="S59" s="7">
        <f>U59</f>
        <v>2887.2950000000001</v>
      </c>
      <c r="T59" s="7"/>
      <c r="U59" s="27">
        <f t="shared" si="23"/>
        <v>2887.2950000000001</v>
      </c>
    </row>
    <row r="60" spans="4:21" ht="18" customHeight="1" x14ac:dyDescent="0.3">
      <c r="H60" s="62"/>
      <c r="M60" s="1"/>
      <c r="P60" s="6">
        <v>43086</v>
      </c>
      <c r="Q60" s="29">
        <f t="shared" si="24"/>
        <v>94046.88069999998</v>
      </c>
      <c r="R60" s="6">
        <v>43086</v>
      </c>
      <c r="S60" s="7">
        <f>U60</f>
        <v>2916.5027999999998</v>
      </c>
      <c r="T60" s="8"/>
      <c r="U60" s="27">
        <f t="shared" si="23"/>
        <v>2916.5027999999998</v>
      </c>
    </row>
    <row r="61" spans="4:21" ht="18" customHeight="1" x14ac:dyDescent="0.3">
      <c r="D61" s="51">
        <v>42752</v>
      </c>
      <c r="E61" s="53">
        <f>E46</f>
        <v>25000</v>
      </c>
      <c r="F61" s="95">
        <v>0</v>
      </c>
      <c r="G61" s="53">
        <f>-I59</f>
        <v>-28004.812099999996</v>
      </c>
      <c r="H61" s="54">
        <v>10550</v>
      </c>
      <c r="I61" s="53">
        <f>H61*B15</f>
        <v>3903.5</v>
      </c>
      <c r="J61" s="55">
        <f t="shared" ref="J61:J72" si="25">I61</f>
        <v>3903.5</v>
      </c>
      <c r="K61" s="53">
        <f t="shared" ref="K61:K72" si="26">I61+E61</f>
        <v>28903.5</v>
      </c>
      <c r="L61" s="56">
        <f>I61/B13</f>
        <v>0.19517499999999999</v>
      </c>
      <c r="M61" s="2"/>
      <c r="P61" s="40" t="s">
        <v>28</v>
      </c>
      <c r="Q61" s="29">
        <f>Q60+U61</f>
        <v>96915.446299999981</v>
      </c>
      <c r="R61" s="40" t="s">
        <v>28</v>
      </c>
      <c r="S61" s="7"/>
      <c r="T61" s="10"/>
      <c r="U61" s="27">
        <f t="shared" ref="U61:U72" si="27">I76</f>
        <v>2868.5655999999999</v>
      </c>
    </row>
    <row r="62" spans="4:21" ht="18" customHeight="1" x14ac:dyDescent="0.3">
      <c r="D62" s="51">
        <v>42783</v>
      </c>
      <c r="E62" s="53">
        <f t="shared" ref="E62:E72" si="28">E61+I61</f>
        <v>28903.5</v>
      </c>
      <c r="F62" s="95">
        <v>0</v>
      </c>
      <c r="G62" s="53">
        <v>0</v>
      </c>
      <c r="H62" s="54">
        <v>7743.78</v>
      </c>
      <c r="I62" s="53">
        <f>H62*B15</f>
        <v>2865.1985999999997</v>
      </c>
      <c r="J62" s="55">
        <f t="shared" si="25"/>
        <v>2865.1985999999997</v>
      </c>
      <c r="K62" s="53">
        <f t="shared" si="26"/>
        <v>31768.6986</v>
      </c>
      <c r="L62" s="56">
        <f t="shared" ref="L62:L72" si="29">I62/K61</f>
        <v>9.9129814728320095E-2</v>
      </c>
      <c r="M62" s="2"/>
      <c r="P62" s="40" t="s">
        <v>39</v>
      </c>
      <c r="Q62" s="29">
        <f t="shared" si="24"/>
        <v>96637.454299999983</v>
      </c>
      <c r="R62" s="40" t="s">
        <v>39</v>
      </c>
      <c r="S62" s="10"/>
      <c r="T62" s="9">
        <f>U62</f>
        <v>-277.99200000000002</v>
      </c>
      <c r="U62" s="27">
        <f t="shared" si="27"/>
        <v>-277.99200000000002</v>
      </c>
    </row>
    <row r="63" spans="4:21" ht="18" customHeight="1" x14ac:dyDescent="0.3">
      <c r="D63" s="51">
        <v>42811</v>
      </c>
      <c r="E63" s="53">
        <f t="shared" si="28"/>
        <v>31768.6986</v>
      </c>
      <c r="F63" s="95">
        <v>0</v>
      </c>
      <c r="G63" s="53">
        <v>0</v>
      </c>
      <c r="H63" s="57">
        <v>-5460</v>
      </c>
      <c r="I63" s="53">
        <f>H63*B14</f>
        <v>-1801.8000000000002</v>
      </c>
      <c r="J63" s="55">
        <f t="shared" si="25"/>
        <v>-1801.8000000000002</v>
      </c>
      <c r="K63" s="53">
        <f t="shared" si="26"/>
        <v>29966.8986</v>
      </c>
      <c r="L63" s="56">
        <f t="shared" si="29"/>
        <v>-5.6716204295507409E-2</v>
      </c>
      <c r="M63" s="2"/>
      <c r="O63" s="31">
        <f>I63</f>
        <v>-1801.8000000000002</v>
      </c>
      <c r="P63" s="40" t="s">
        <v>46</v>
      </c>
      <c r="Q63" s="29">
        <f t="shared" si="24"/>
        <v>95232.050299999988</v>
      </c>
      <c r="R63" s="40" t="s">
        <v>46</v>
      </c>
      <c r="S63" s="7"/>
      <c r="T63" s="9">
        <f>U63</f>
        <v>-1405.4040000000002</v>
      </c>
      <c r="U63" s="27">
        <f t="shared" si="27"/>
        <v>-1405.4040000000002</v>
      </c>
    </row>
    <row r="64" spans="4:21" ht="18" customHeight="1" x14ac:dyDescent="0.3">
      <c r="D64" s="51">
        <v>42842</v>
      </c>
      <c r="E64" s="53">
        <f t="shared" si="28"/>
        <v>29966.8986</v>
      </c>
      <c r="F64" s="95">
        <f t="shared" ref="F64:G72" si="30">F63</f>
        <v>0</v>
      </c>
      <c r="G64" s="53">
        <f t="shared" si="30"/>
        <v>0</v>
      </c>
      <c r="H64" s="57">
        <v>-1818</v>
      </c>
      <c r="I64" s="53">
        <f>H64*B14</f>
        <v>-599.94000000000005</v>
      </c>
      <c r="J64" s="55">
        <f t="shared" si="25"/>
        <v>-599.94000000000005</v>
      </c>
      <c r="K64" s="53">
        <f t="shared" si="26"/>
        <v>29366.958600000002</v>
      </c>
      <c r="L64" s="56">
        <f t="shared" si="29"/>
        <v>-2.0020089766646723E-2</v>
      </c>
      <c r="M64" s="2"/>
      <c r="O64" s="31">
        <f>I64</f>
        <v>-599.94000000000005</v>
      </c>
      <c r="P64" s="40" t="s">
        <v>47</v>
      </c>
      <c r="Q64" s="29">
        <f t="shared" si="24"/>
        <v>93639.800299999988</v>
      </c>
      <c r="R64" s="40" t="s">
        <v>47</v>
      </c>
      <c r="S64" s="10"/>
      <c r="T64" s="9">
        <f>U64</f>
        <v>-1592.25</v>
      </c>
      <c r="U64" s="27">
        <f t="shared" si="27"/>
        <v>-1592.25</v>
      </c>
    </row>
    <row r="65" spans="4:21" ht="18" customHeight="1" x14ac:dyDescent="0.3">
      <c r="D65" s="51">
        <v>42872</v>
      </c>
      <c r="E65" s="53">
        <f t="shared" si="28"/>
        <v>29366.958600000002</v>
      </c>
      <c r="F65" s="95">
        <f t="shared" si="30"/>
        <v>0</v>
      </c>
      <c r="G65" s="53">
        <f t="shared" si="30"/>
        <v>0</v>
      </c>
      <c r="H65" s="57">
        <v>-2420.4</v>
      </c>
      <c r="I65" s="53">
        <f>H65*B14</f>
        <v>-798.73200000000008</v>
      </c>
      <c r="J65" s="55">
        <f t="shared" si="25"/>
        <v>-798.73200000000008</v>
      </c>
      <c r="K65" s="53">
        <f t="shared" si="26"/>
        <v>28568.226600000002</v>
      </c>
      <c r="L65" s="56">
        <f t="shared" si="29"/>
        <v>-2.7198322130641068E-2</v>
      </c>
      <c r="M65" s="2"/>
      <c r="O65" s="31">
        <f>I65</f>
        <v>-798.73200000000008</v>
      </c>
      <c r="P65" s="40" t="s">
        <v>49</v>
      </c>
      <c r="Q65" s="29">
        <f t="shared" si="24"/>
        <v>93048.059299999994</v>
      </c>
      <c r="R65" s="40" t="s">
        <v>49</v>
      </c>
      <c r="S65" s="7"/>
      <c r="T65" s="9">
        <f>U65</f>
        <v>-591.74099999999999</v>
      </c>
      <c r="U65" s="27">
        <f t="shared" si="27"/>
        <v>-591.74099999999999</v>
      </c>
    </row>
    <row r="66" spans="4:21" ht="18" customHeight="1" x14ac:dyDescent="0.3">
      <c r="D66" s="51">
        <v>42903</v>
      </c>
      <c r="E66" s="53">
        <f t="shared" si="28"/>
        <v>28568.226600000002</v>
      </c>
      <c r="F66" s="95">
        <f t="shared" si="30"/>
        <v>0</v>
      </c>
      <c r="G66" s="53">
        <f t="shared" si="30"/>
        <v>0</v>
      </c>
      <c r="H66" s="57">
        <v>-561.16999999999996</v>
      </c>
      <c r="I66" s="53">
        <f>H66*B14</f>
        <v>-185.18609999999998</v>
      </c>
      <c r="J66" s="55">
        <f t="shared" si="25"/>
        <v>-185.18609999999998</v>
      </c>
      <c r="K66" s="53">
        <f t="shared" si="26"/>
        <v>28383.040500000003</v>
      </c>
      <c r="L66" s="56">
        <f t="shared" si="29"/>
        <v>-6.4822399581498692E-3</v>
      </c>
      <c r="M66" s="2"/>
      <c r="O66" s="31">
        <f>I66</f>
        <v>-185.18609999999998</v>
      </c>
      <c r="P66" s="40" t="s">
        <v>50</v>
      </c>
      <c r="Q66" s="29">
        <f t="shared" si="24"/>
        <v>96845.768899999995</v>
      </c>
      <c r="R66" s="40" t="s">
        <v>50</v>
      </c>
      <c r="S66" s="7">
        <f>U66</f>
        <v>3797.7096000000001</v>
      </c>
      <c r="T66" s="10"/>
      <c r="U66" s="27">
        <f t="shared" si="27"/>
        <v>3797.7096000000001</v>
      </c>
    </row>
    <row r="67" spans="4:21" ht="18" customHeight="1" x14ac:dyDescent="0.3">
      <c r="D67" s="51">
        <v>42933</v>
      </c>
      <c r="E67" s="53">
        <f t="shared" si="28"/>
        <v>28383.040500000003</v>
      </c>
      <c r="F67" s="95">
        <f t="shared" si="30"/>
        <v>0</v>
      </c>
      <c r="G67" s="53">
        <f t="shared" si="30"/>
        <v>0</v>
      </c>
      <c r="H67" s="57">
        <v>-6118</v>
      </c>
      <c r="I67" s="53">
        <f>H67*B14</f>
        <v>-2018.94</v>
      </c>
      <c r="J67" s="55">
        <f t="shared" si="25"/>
        <v>-2018.94</v>
      </c>
      <c r="K67" s="53">
        <f t="shared" si="26"/>
        <v>26364.100500000004</v>
      </c>
      <c r="L67" s="56">
        <f t="shared" si="29"/>
        <v>-7.1131914144293304E-2</v>
      </c>
      <c r="M67" s="2"/>
      <c r="O67" s="31">
        <f>I67</f>
        <v>-2018.94</v>
      </c>
      <c r="P67" s="40" t="s">
        <v>51</v>
      </c>
      <c r="Q67" s="29">
        <f t="shared" si="24"/>
        <v>98788.498299999992</v>
      </c>
      <c r="R67" s="40" t="s">
        <v>51</v>
      </c>
      <c r="S67" s="7">
        <f>U67</f>
        <v>1942.7293999999999</v>
      </c>
      <c r="T67" s="10"/>
      <c r="U67" s="27">
        <f t="shared" si="27"/>
        <v>1942.7293999999999</v>
      </c>
    </row>
    <row r="68" spans="4:21" ht="18" customHeight="1" x14ac:dyDescent="0.3">
      <c r="D68" s="51">
        <v>42964</v>
      </c>
      <c r="E68" s="53">
        <f t="shared" si="28"/>
        <v>26364.100500000004</v>
      </c>
      <c r="F68" s="95">
        <f t="shared" si="30"/>
        <v>0</v>
      </c>
      <c r="G68" s="53">
        <f t="shared" si="30"/>
        <v>0</v>
      </c>
      <c r="H68" s="54">
        <v>16305</v>
      </c>
      <c r="I68" s="53">
        <f>H68*B15</f>
        <v>6032.85</v>
      </c>
      <c r="J68" s="55">
        <f t="shared" si="25"/>
        <v>6032.85</v>
      </c>
      <c r="K68" s="53">
        <f t="shared" si="26"/>
        <v>32396.950500000006</v>
      </c>
      <c r="L68" s="56">
        <f t="shared" si="29"/>
        <v>0.22882821281917051</v>
      </c>
      <c r="M68" s="2"/>
      <c r="O68" s="37">
        <f>SUM(O63:O67)</f>
        <v>-5404.5981000000002</v>
      </c>
      <c r="P68" s="40" t="s">
        <v>52</v>
      </c>
      <c r="Q68" s="29">
        <f t="shared" si="24"/>
        <v>101388.89529999999</v>
      </c>
      <c r="R68" s="40" t="s">
        <v>52</v>
      </c>
      <c r="S68" s="7">
        <f>U68</f>
        <v>2600.3969999999999</v>
      </c>
      <c r="T68" s="10"/>
      <c r="U68" s="27">
        <f t="shared" si="27"/>
        <v>2600.3969999999999</v>
      </c>
    </row>
    <row r="69" spans="4:21" ht="18" customHeight="1" x14ac:dyDescent="0.3">
      <c r="D69" s="51">
        <v>42995</v>
      </c>
      <c r="E69" s="53">
        <f t="shared" si="28"/>
        <v>32396.950500000006</v>
      </c>
      <c r="F69" s="95">
        <f t="shared" si="30"/>
        <v>0</v>
      </c>
      <c r="G69" s="53">
        <f t="shared" si="30"/>
        <v>0</v>
      </c>
      <c r="H69" s="57">
        <v>-5238.3999999999996</v>
      </c>
      <c r="I69" s="53">
        <f>H69*B14</f>
        <v>-1728.672</v>
      </c>
      <c r="J69" s="55">
        <f t="shared" si="25"/>
        <v>-1728.672</v>
      </c>
      <c r="K69" s="53">
        <f t="shared" si="26"/>
        <v>30668.278500000008</v>
      </c>
      <c r="L69" s="56">
        <f t="shared" si="29"/>
        <v>-5.3359096251975928E-2</v>
      </c>
      <c r="M69" s="2"/>
      <c r="P69" s="40" t="s">
        <v>53</v>
      </c>
      <c r="Q69" s="29">
        <f t="shared" si="24"/>
        <v>100655.14829999999</v>
      </c>
      <c r="R69" s="40" t="s">
        <v>53</v>
      </c>
      <c r="S69" s="7"/>
      <c r="T69" s="9">
        <f>U69</f>
        <v>-733.74699999999996</v>
      </c>
      <c r="U69" s="27">
        <f t="shared" si="27"/>
        <v>-733.74699999999996</v>
      </c>
    </row>
    <row r="70" spans="4:21" ht="18" customHeight="1" x14ac:dyDescent="0.25">
      <c r="D70" s="51">
        <v>43025</v>
      </c>
      <c r="E70" s="53">
        <f t="shared" si="28"/>
        <v>30668.278500000008</v>
      </c>
      <c r="F70" s="95">
        <f t="shared" si="30"/>
        <v>0</v>
      </c>
      <c r="G70" s="53">
        <f t="shared" si="30"/>
        <v>0</v>
      </c>
      <c r="H70" s="54">
        <v>8639.44</v>
      </c>
      <c r="I70" s="53">
        <f>H70*B15</f>
        <v>3196.5928000000004</v>
      </c>
      <c r="J70" s="55">
        <f t="shared" si="25"/>
        <v>3196.5928000000004</v>
      </c>
      <c r="K70" s="53">
        <f t="shared" si="26"/>
        <v>33864.871300000006</v>
      </c>
      <c r="L70" s="56">
        <f t="shared" si="29"/>
        <v>0.10423124336763798</v>
      </c>
      <c r="M70" s="2"/>
      <c r="P70" s="40" t="s">
        <v>54</v>
      </c>
      <c r="Q70" s="29">
        <f t="shared" si="24"/>
        <v>101585.69829999999</v>
      </c>
      <c r="R70" s="40" t="s">
        <v>54</v>
      </c>
      <c r="S70" s="7">
        <f>U70</f>
        <v>930.55</v>
      </c>
      <c r="T70" s="7"/>
      <c r="U70" s="27">
        <f t="shared" si="27"/>
        <v>930.55</v>
      </c>
    </row>
    <row r="71" spans="4:21" ht="18" customHeight="1" x14ac:dyDescent="0.25">
      <c r="D71" s="51">
        <v>43056</v>
      </c>
      <c r="E71" s="53">
        <f t="shared" si="28"/>
        <v>33864.871300000006</v>
      </c>
      <c r="F71" s="95">
        <f t="shared" si="30"/>
        <v>0</v>
      </c>
      <c r="G71" s="53">
        <f t="shared" si="30"/>
        <v>0</v>
      </c>
      <c r="H71" s="54">
        <v>7803.5</v>
      </c>
      <c r="I71" s="53">
        <f>H71*B15</f>
        <v>2887.2950000000001</v>
      </c>
      <c r="J71" s="55">
        <f t="shared" si="25"/>
        <v>2887.2950000000001</v>
      </c>
      <c r="K71" s="53">
        <f t="shared" si="26"/>
        <v>36752.166300000004</v>
      </c>
      <c r="L71" s="56">
        <f t="shared" si="29"/>
        <v>8.5259293455516527E-2</v>
      </c>
      <c r="M71" s="2"/>
      <c r="P71" s="40" t="s">
        <v>55</v>
      </c>
      <c r="Q71" s="29">
        <f t="shared" si="24"/>
        <v>103313.96829999999</v>
      </c>
      <c r="R71" s="40" t="s">
        <v>55</v>
      </c>
      <c r="S71" s="7">
        <f>U71</f>
        <v>1728.27</v>
      </c>
      <c r="T71" s="7"/>
      <c r="U71" s="27">
        <f t="shared" si="27"/>
        <v>1728.27</v>
      </c>
    </row>
    <row r="72" spans="4:21" ht="18" customHeight="1" x14ac:dyDescent="0.3">
      <c r="D72" s="51">
        <v>43086</v>
      </c>
      <c r="E72" s="53">
        <f t="shared" si="28"/>
        <v>36752.166300000004</v>
      </c>
      <c r="F72" s="95">
        <f t="shared" si="30"/>
        <v>0</v>
      </c>
      <c r="G72" s="53">
        <f t="shared" si="30"/>
        <v>0</v>
      </c>
      <c r="H72" s="54">
        <v>7882.44</v>
      </c>
      <c r="I72" s="53">
        <f>H72*B15</f>
        <v>2916.5027999999998</v>
      </c>
      <c r="J72" s="55">
        <f t="shared" si="25"/>
        <v>2916.5027999999998</v>
      </c>
      <c r="K72" s="53">
        <f t="shared" si="26"/>
        <v>39668.669100000006</v>
      </c>
      <c r="L72" s="56">
        <f t="shared" si="29"/>
        <v>7.9355942618272252E-2</v>
      </c>
      <c r="M72" s="2"/>
      <c r="P72" s="40" t="s">
        <v>64</v>
      </c>
      <c r="Q72" s="29">
        <f t="shared" si="24"/>
        <v>109941.2159</v>
      </c>
      <c r="R72" s="40" t="s">
        <v>64</v>
      </c>
      <c r="S72" s="7">
        <f>U72</f>
        <v>6627.2475999999997</v>
      </c>
      <c r="T72" s="10"/>
      <c r="U72" s="27">
        <f t="shared" si="27"/>
        <v>6627.2475999999997</v>
      </c>
    </row>
    <row r="73" spans="4:21" ht="18" customHeight="1" x14ac:dyDescent="0.3">
      <c r="H73" s="58" t="s">
        <v>11</v>
      </c>
      <c r="I73" s="46" t="s">
        <v>11</v>
      </c>
      <c r="L73" s="67" t="s">
        <v>12</v>
      </c>
      <c r="M73" s="2"/>
      <c r="P73" s="40" t="s">
        <v>63</v>
      </c>
      <c r="Q73" s="29">
        <f>Q72+U73</f>
        <v>112628.3409</v>
      </c>
      <c r="R73" s="40" t="s">
        <v>63</v>
      </c>
      <c r="S73" s="7">
        <f>U73</f>
        <v>2687.125</v>
      </c>
      <c r="T73" s="10"/>
      <c r="U73" s="27">
        <f>I91</f>
        <v>2687.125</v>
      </c>
    </row>
    <row r="74" spans="4:21" ht="18" customHeight="1" x14ac:dyDescent="0.3">
      <c r="H74" s="59">
        <v>35308.199999999997</v>
      </c>
      <c r="I74" s="52">
        <f>SUM(I61:I73)</f>
        <v>14668.669100000001</v>
      </c>
      <c r="J74" s="55"/>
      <c r="K74" s="60"/>
      <c r="L74" s="61">
        <f>I74/B13</f>
        <v>0.73343345500000001</v>
      </c>
      <c r="M74" s="22">
        <f>I74</f>
        <v>14668.669100000001</v>
      </c>
      <c r="N74" s="1">
        <v>12</v>
      </c>
      <c r="P74" s="40" t="s">
        <v>65</v>
      </c>
      <c r="Q74" s="29">
        <f t="shared" si="24"/>
        <v>114367.4519</v>
      </c>
      <c r="R74" s="40" t="s">
        <v>65</v>
      </c>
      <c r="S74" s="7">
        <f>U74</f>
        <v>1739.1110000000001</v>
      </c>
      <c r="T74" s="10"/>
      <c r="U74" s="27">
        <f t="shared" ref="U74:U80" si="31">I92</f>
        <v>1739.1110000000001</v>
      </c>
    </row>
    <row r="75" spans="4:21" ht="18" customHeight="1" x14ac:dyDescent="0.3">
      <c r="H75" s="62"/>
      <c r="I75" s="52"/>
      <c r="J75" s="63"/>
      <c r="K75" s="60"/>
      <c r="L75" s="61"/>
      <c r="M75" s="2"/>
      <c r="P75" s="40" t="s">
        <v>66</v>
      </c>
      <c r="Q75" s="29">
        <f t="shared" si="24"/>
        <v>113020.5866</v>
      </c>
      <c r="R75" s="40" t="s">
        <v>66</v>
      </c>
      <c r="S75" s="7"/>
      <c r="T75" s="9">
        <f>U75</f>
        <v>-1346.8652999999999</v>
      </c>
      <c r="U75" s="27">
        <f t="shared" si="31"/>
        <v>-1346.8652999999999</v>
      </c>
    </row>
    <row r="76" spans="4:21" ht="18" customHeight="1" x14ac:dyDescent="0.3">
      <c r="D76" s="68" t="s">
        <v>28</v>
      </c>
      <c r="E76" s="53">
        <f>E61</f>
        <v>25000</v>
      </c>
      <c r="F76" s="95">
        <v>0</v>
      </c>
      <c r="G76" s="53">
        <f>-I74</f>
        <v>-14668.669100000001</v>
      </c>
      <c r="H76" s="54">
        <v>7752.88</v>
      </c>
      <c r="I76" s="53">
        <f>H76*B15</f>
        <v>2868.5655999999999</v>
      </c>
      <c r="J76" s="55">
        <f t="shared" ref="J76:J88" si="32">I76</f>
        <v>2868.5655999999999</v>
      </c>
      <c r="K76" s="53">
        <f t="shared" ref="K76:K86" si="33">I76+E76</f>
        <v>27868.565600000002</v>
      </c>
      <c r="L76" s="56">
        <f>I76/B13</f>
        <v>0.14342827999999999</v>
      </c>
      <c r="M76" s="2"/>
      <c r="P76" s="40" t="s">
        <v>67</v>
      </c>
      <c r="Q76" s="29">
        <f t="shared" si="24"/>
        <v>111170.8244</v>
      </c>
      <c r="R76" s="40" t="s">
        <v>67</v>
      </c>
      <c r="S76" s="7"/>
      <c r="T76" s="9">
        <f>U76</f>
        <v>-1849.7622000000001</v>
      </c>
      <c r="U76" s="27">
        <f t="shared" si="31"/>
        <v>-1849.7622000000001</v>
      </c>
    </row>
    <row r="77" spans="4:21" ht="18" customHeight="1" x14ac:dyDescent="0.3">
      <c r="D77" s="68" t="s">
        <v>39</v>
      </c>
      <c r="E77" s="53">
        <f t="shared" ref="E77:E86" si="34">K76</f>
        <v>27868.565600000002</v>
      </c>
      <c r="F77" s="95">
        <f>F71</f>
        <v>0</v>
      </c>
      <c r="G77" s="53">
        <f>G71</f>
        <v>0</v>
      </c>
      <c r="H77" s="57">
        <v>-842.4</v>
      </c>
      <c r="I77" s="53">
        <f>H77*B14</f>
        <v>-277.99200000000002</v>
      </c>
      <c r="J77" s="55">
        <f t="shared" si="32"/>
        <v>-277.99200000000002</v>
      </c>
      <c r="K77" s="53">
        <f t="shared" si="33"/>
        <v>27590.573600000003</v>
      </c>
      <c r="L77" s="56">
        <f t="shared" ref="L77:L86" si="35">I77/K76</f>
        <v>-9.9751097343883394E-3</v>
      </c>
      <c r="M77" s="2"/>
      <c r="O77" s="31">
        <f>I77</f>
        <v>-277.99200000000002</v>
      </c>
      <c r="P77" s="40" t="s">
        <v>68</v>
      </c>
      <c r="Q77" s="29">
        <f t="shared" si="24"/>
        <v>110826.69379999999</v>
      </c>
      <c r="R77" s="40" t="s">
        <v>68</v>
      </c>
      <c r="S77" s="7"/>
      <c r="T77" s="9">
        <f>U77</f>
        <v>-344.13060000000002</v>
      </c>
      <c r="U77" s="27">
        <f t="shared" si="31"/>
        <v>-344.13060000000002</v>
      </c>
    </row>
    <row r="78" spans="4:21" ht="18" customHeight="1" x14ac:dyDescent="0.3">
      <c r="D78" s="68" t="s">
        <v>46</v>
      </c>
      <c r="E78" s="53">
        <f t="shared" si="34"/>
        <v>27590.573600000003</v>
      </c>
      <c r="F78" s="95">
        <f>F72</f>
        <v>0</v>
      </c>
      <c r="G78" s="53">
        <f>G72</f>
        <v>0</v>
      </c>
      <c r="H78" s="57">
        <v>-4258.8</v>
      </c>
      <c r="I78" s="53">
        <f>H78*B14</f>
        <v>-1405.4040000000002</v>
      </c>
      <c r="J78" s="55">
        <f t="shared" si="32"/>
        <v>-1405.4040000000002</v>
      </c>
      <c r="K78" s="53">
        <f t="shared" si="33"/>
        <v>26185.169600000005</v>
      </c>
      <c r="L78" s="56">
        <f t="shared" si="35"/>
        <v>-5.0937831897775405E-2</v>
      </c>
      <c r="M78" s="2"/>
      <c r="O78" s="31">
        <f>I78</f>
        <v>-1405.4040000000002</v>
      </c>
      <c r="P78" s="40" t="s">
        <v>69</v>
      </c>
      <c r="Q78" s="29">
        <f t="shared" si="24"/>
        <v>118042.69279999999</v>
      </c>
      <c r="R78" s="40" t="s">
        <v>69</v>
      </c>
      <c r="S78" s="7">
        <f>U78</f>
        <v>7215.9989999999998</v>
      </c>
      <c r="T78" s="10"/>
      <c r="U78" s="27">
        <f t="shared" si="31"/>
        <v>7215.9989999999998</v>
      </c>
    </row>
    <row r="79" spans="4:21" ht="18" customHeight="1" x14ac:dyDescent="0.3">
      <c r="D79" s="68" t="s">
        <v>47</v>
      </c>
      <c r="E79" s="53">
        <f t="shared" si="34"/>
        <v>26185.169600000005</v>
      </c>
      <c r="F79" s="95">
        <f>F77</f>
        <v>0</v>
      </c>
      <c r="G79" s="53">
        <f>G78</f>
        <v>0</v>
      </c>
      <c r="H79" s="57">
        <v>-4825</v>
      </c>
      <c r="I79" s="53">
        <f>H79*B14</f>
        <v>-1592.25</v>
      </c>
      <c r="J79" s="55">
        <f t="shared" si="32"/>
        <v>-1592.25</v>
      </c>
      <c r="K79" s="53">
        <f t="shared" si="33"/>
        <v>24592.919600000005</v>
      </c>
      <c r="L79" s="56">
        <f t="shared" si="35"/>
        <v>-6.0807320491825252E-2</v>
      </c>
      <c r="M79" s="2"/>
      <c r="O79" s="31">
        <f>I79</f>
        <v>-1592.25</v>
      </c>
      <c r="P79" s="40" t="s">
        <v>70</v>
      </c>
      <c r="Q79" s="29">
        <f t="shared" si="24"/>
        <v>119920.34659999999</v>
      </c>
      <c r="R79" s="40" t="s">
        <v>70</v>
      </c>
      <c r="S79" s="7">
        <f>U79</f>
        <v>1877.6537999999998</v>
      </c>
      <c r="T79" s="10"/>
      <c r="U79" s="27">
        <f t="shared" si="31"/>
        <v>1877.6537999999998</v>
      </c>
    </row>
    <row r="80" spans="4:21" ht="18" customHeight="1" x14ac:dyDescent="0.3">
      <c r="D80" s="68" t="s">
        <v>49</v>
      </c>
      <c r="E80" s="53">
        <f t="shared" si="34"/>
        <v>24592.919600000005</v>
      </c>
      <c r="F80" s="95">
        <f>F78</f>
        <v>0</v>
      </c>
      <c r="G80" s="53">
        <f>G79</f>
        <v>0</v>
      </c>
      <c r="H80" s="54">
        <v>-1599.3</v>
      </c>
      <c r="I80" s="53">
        <f>H80*B15</f>
        <v>-591.74099999999999</v>
      </c>
      <c r="J80" s="55">
        <f t="shared" si="32"/>
        <v>-591.74099999999999</v>
      </c>
      <c r="K80" s="53">
        <f t="shared" si="33"/>
        <v>24001.178600000007</v>
      </c>
      <c r="L80" s="56">
        <f t="shared" si="35"/>
        <v>-2.4061437585474799E-2</v>
      </c>
      <c r="M80" s="2"/>
      <c r="O80" s="31">
        <f>I80</f>
        <v>-591.74099999999999</v>
      </c>
      <c r="P80" s="40" t="s">
        <v>78</v>
      </c>
      <c r="Q80" s="29">
        <f t="shared" si="24"/>
        <v>129008.75279999999</v>
      </c>
      <c r="R80" s="40" t="s">
        <v>78</v>
      </c>
      <c r="S80" s="7">
        <f>U80</f>
        <v>9088.4061999999994</v>
      </c>
      <c r="T80" s="10"/>
      <c r="U80" s="27">
        <f t="shared" si="31"/>
        <v>9088.4061999999994</v>
      </c>
    </row>
    <row r="81" spans="4:21" ht="18" customHeight="1" x14ac:dyDescent="0.3">
      <c r="D81" s="68" t="s">
        <v>50</v>
      </c>
      <c r="E81" s="53">
        <f t="shared" si="34"/>
        <v>24001.178600000007</v>
      </c>
      <c r="F81" s="95">
        <f>F79</f>
        <v>0</v>
      </c>
      <c r="G81" s="53">
        <f>G80</f>
        <v>0</v>
      </c>
      <c r="H81" s="54">
        <v>10264.08</v>
      </c>
      <c r="I81" s="53">
        <f>H81*B15</f>
        <v>3797.7096000000001</v>
      </c>
      <c r="J81" s="55">
        <f t="shared" si="32"/>
        <v>3797.7096000000001</v>
      </c>
      <c r="K81" s="53">
        <f t="shared" si="33"/>
        <v>27798.888200000009</v>
      </c>
      <c r="L81" s="56">
        <f t="shared" si="35"/>
        <v>0.15823012958205307</v>
      </c>
      <c r="M81" s="2"/>
      <c r="O81" s="37">
        <f>SUM(O77:O80)</f>
        <v>-3867.3870000000002</v>
      </c>
      <c r="P81" s="6">
        <v>43727</v>
      </c>
      <c r="Q81" s="29">
        <f>Q80+U81</f>
        <v>127426.75919999999</v>
      </c>
      <c r="R81" s="6">
        <v>43727</v>
      </c>
      <c r="S81" s="7"/>
      <c r="T81" s="9">
        <f>U81</f>
        <v>-1581.9936</v>
      </c>
      <c r="U81" s="27">
        <f>I99</f>
        <v>-1581.9936</v>
      </c>
    </row>
    <row r="82" spans="4:21" ht="18" customHeight="1" x14ac:dyDescent="0.25">
      <c r="D82" s="68" t="s">
        <v>51</v>
      </c>
      <c r="E82" s="53">
        <f t="shared" si="34"/>
        <v>27798.888200000009</v>
      </c>
      <c r="F82" s="95">
        <f>F79</f>
        <v>0</v>
      </c>
      <c r="G82" s="53">
        <f>G80</f>
        <v>0</v>
      </c>
      <c r="H82" s="54">
        <v>5250.62</v>
      </c>
      <c r="I82" s="53">
        <f>H82*B15</f>
        <v>1942.7293999999999</v>
      </c>
      <c r="J82" s="55">
        <f t="shared" si="32"/>
        <v>1942.7293999999999</v>
      </c>
      <c r="K82" s="53">
        <f t="shared" si="33"/>
        <v>29741.617600000009</v>
      </c>
      <c r="L82" s="56">
        <f t="shared" si="35"/>
        <v>6.9885147421111585E-2</v>
      </c>
      <c r="M82" s="2"/>
      <c r="P82" s="6">
        <v>43757</v>
      </c>
      <c r="Q82" s="29">
        <f>Q80+U82</f>
        <v>130106.65009999998</v>
      </c>
      <c r="R82" s="6">
        <v>43757</v>
      </c>
      <c r="S82" s="7">
        <f t="shared" ref="S82:S84" si="36">U82</f>
        <v>1097.8973000000001</v>
      </c>
      <c r="T82" s="31"/>
      <c r="U82" s="27">
        <f>I100</f>
        <v>1097.8973000000001</v>
      </c>
    </row>
    <row r="83" spans="4:21" ht="18" customHeight="1" x14ac:dyDescent="0.25">
      <c r="D83" s="68" t="s">
        <v>52</v>
      </c>
      <c r="E83" s="53">
        <f t="shared" si="34"/>
        <v>29741.617600000009</v>
      </c>
      <c r="F83" s="95">
        <f>F80</f>
        <v>0</v>
      </c>
      <c r="G83" s="53">
        <f>G81</f>
        <v>0</v>
      </c>
      <c r="H83" s="54">
        <v>7028.1</v>
      </c>
      <c r="I83" s="53">
        <f>H83*B15</f>
        <v>2600.3969999999999</v>
      </c>
      <c r="J83" s="55">
        <f t="shared" si="32"/>
        <v>2600.3969999999999</v>
      </c>
      <c r="K83" s="53">
        <f t="shared" si="33"/>
        <v>32342.01460000001</v>
      </c>
      <c r="L83" s="56">
        <f t="shared" si="35"/>
        <v>8.7432937743103761E-2</v>
      </c>
      <c r="M83" s="2"/>
      <c r="P83" s="6">
        <v>43788</v>
      </c>
      <c r="Q83" s="29">
        <f>Q80+U83</f>
        <v>130021.27259999998</v>
      </c>
      <c r="R83" s="6">
        <v>43788</v>
      </c>
      <c r="S83" s="7">
        <f t="shared" si="36"/>
        <v>1012.5197999999999</v>
      </c>
      <c r="T83" s="31"/>
      <c r="U83" s="27">
        <f>I101</f>
        <v>1012.5197999999999</v>
      </c>
    </row>
    <row r="84" spans="4:21" ht="18" customHeight="1" x14ac:dyDescent="0.25">
      <c r="D84" s="68" t="s">
        <v>53</v>
      </c>
      <c r="E84" s="53">
        <f t="shared" si="34"/>
        <v>32342.01460000001</v>
      </c>
      <c r="F84" s="95">
        <v>0</v>
      </c>
      <c r="G84" s="53">
        <v>0</v>
      </c>
      <c r="H84" s="57">
        <v>-1983.1</v>
      </c>
      <c r="I84" s="53">
        <f>H84*B15</f>
        <v>-733.74699999999996</v>
      </c>
      <c r="J84" s="55">
        <f t="shared" si="32"/>
        <v>-733.74699999999996</v>
      </c>
      <c r="K84" s="53">
        <f t="shared" si="33"/>
        <v>31608.26760000001</v>
      </c>
      <c r="L84" s="56">
        <f t="shared" si="35"/>
        <v>-2.2687114858948823E-2</v>
      </c>
      <c r="M84" s="2"/>
      <c r="P84" s="6">
        <v>43818</v>
      </c>
      <c r="Q84" s="29">
        <f t="shared" ref="Q84:Q97" si="37">Q83+U84</f>
        <v>131499.35599999997</v>
      </c>
      <c r="R84" s="6">
        <v>43818</v>
      </c>
      <c r="S84" s="7">
        <f t="shared" si="36"/>
        <v>1478.0834</v>
      </c>
      <c r="T84" s="31"/>
      <c r="U84" s="27">
        <f>I102</f>
        <v>1478.0834</v>
      </c>
    </row>
    <row r="85" spans="4:21" ht="18" customHeight="1" x14ac:dyDescent="0.25">
      <c r="D85" s="68" t="s">
        <v>54</v>
      </c>
      <c r="E85" s="53">
        <f t="shared" si="34"/>
        <v>31608.26760000001</v>
      </c>
      <c r="F85" s="95">
        <v>0</v>
      </c>
      <c r="G85" s="53">
        <v>0</v>
      </c>
      <c r="H85" s="54">
        <v>2515</v>
      </c>
      <c r="I85" s="53">
        <f>H85*B15</f>
        <v>930.55</v>
      </c>
      <c r="J85" s="55">
        <f t="shared" si="32"/>
        <v>930.55</v>
      </c>
      <c r="K85" s="53">
        <f t="shared" si="33"/>
        <v>32538.817600000009</v>
      </c>
      <c r="L85" s="56">
        <f t="shared" si="35"/>
        <v>2.9440082315678687E-2</v>
      </c>
      <c r="M85" s="2"/>
      <c r="P85" s="40" t="str">
        <f t="shared" ref="P85:P96" si="38">D106</f>
        <v>20-Jan</v>
      </c>
      <c r="Q85" s="29">
        <f t="shared" si="37"/>
        <v>135531.07579999996</v>
      </c>
      <c r="R85" s="6">
        <v>43850</v>
      </c>
      <c r="S85" s="7">
        <f t="shared" ref="S85:S92" si="39">U85</f>
        <v>4031.7198000000003</v>
      </c>
      <c r="T85" s="31"/>
      <c r="U85" s="27">
        <f t="shared" ref="U85:U96" si="40">I106</f>
        <v>4031.7198000000003</v>
      </c>
    </row>
    <row r="86" spans="4:21" ht="18" customHeight="1" x14ac:dyDescent="0.25">
      <c r="D86" s="68" t="s">
        <v>55</v>
      </c>
      <c r="E86" s="53">
        <f t="shared" si="34"/>
        <v>32538.817600000009</v>
      </c>
      <c r="F86" s="95">
        <v>0</v>
      </c>
      <c r="G86" s="53">
        <v>0</v>
      </c>
      <c r="H86" s="54">
        <v>4671</v>
      </c>
      <c r="I86" s="53">
        <f>H86*B15</f>
        <v>1728.27</v>
      </c>
      <c r="J86" s="55">
        <f t="shared" si="32"/>
        <v>1728.27</v>
      </c>
      <c r="K86" s="53">
        <f t="shared" si="33"/>
        <v>34267.087600000006</v>
      </c>
      <c r="L86" s="56">
        <f t="shared" si="35"/>
        <v>5.3114099634646819E-2</v>
      </c>
      <c r="M86" s="2"/>
      <c r="P86" s="40" t="str">
        <f t="shared" si="38"/>
        <v>20-Feb</v>
      </c>
      <c r="Q86" s="43">
        <f t="shared" si="37"/>
        <v>138110.78239999997</v>
      </c>
      <c r="R86" s="42" t="str">
        <f t="shared" ref="R86:R96" si="41">D107</f>
        <v>20-Feb</v>
      </c>
      <c r="S86" s="44">
        <f t="shared" si="39"/>
        <v>2579.7066</v>
      </c>
      <c r="T86" s="31"/>
      <c r="U86" s="31">
        <f t="shared" si="40"/>
        <v>2579.7066</v>
      </c>
    </row>
    <row r="87" spans="4:21" ht="18" customHeight="1" x14ac:dyDescent="0.25">
      <c r="D87" s="68" t="s">
        <v>64</v>
      </c>
      <c r="E87" s="53">
        <f t="shared" ref="E87" si="42">K86</f>
        <v>34267.087600000006</v>
      </c>
      <c r="F87" s="95">
        <v>0</v>
      </c>
      <c r="G87" s="53">
        <v>0</v>
      </c>
      <c r="H87" s="54">
        <v>17911.48</v>
      </c>
      <c r="I87" s="69">
        <f>H87*B15</f>
        <v>6627.2475999999997</v>
      </c>
      <c r="J87" s="55">
        <f>H87</f>
        <v>17911.48</v>
      </c>
      <c r="K87" s="53">
        <f>H87+E87</f>
        <v>52178.567600000009</v>
      </c>
      <c r="L87" s="56">
        <f>H87/K86</f>
        <v>0.52270213941379706</v>
      </c>
      <c r="M87" s="2"/>
      <c r="O87" s="15"/>
      <c r="P87" s="40" t="str">
        <f t="shared" si="38"/>
        <v>20-Mar</v>
      </c>
      <c r="Q87" s="43">
        <f t="shared" si="37"/>
        <v>139962.16619999998</v>
      </c>
      <c r="R87" s="42" t="str">
        <f t="shared" si="41"/>
        <v>20-Mar</v>
      </c>
      <c r="S87" s="44">
        <f t="shared" si="39"/>
        <v>1851.3837999999998</v>
      </c>
      <c r="T87" s="31"/>
      <c r="U87" s="31">
        <f t="shared" si="40"/>
        <v>1851.3837999999998</v>
      </c>
    </row>
    <row r="88" spans="4:21" ht="18" customHeight="1" x14ac:dyDescent="0.25">
      <c r="H88" s="58" t="s">
        <v>11</v>
      </c>
      <c r="I88" s="46" t="s">
        <v>11</v>
      </c>
      <c r="J88" s="55" t="str">
        <f t="shared" si="32"/>
        <v>-----------</v>
      </c>
      <c r="L88" s="67" t="s">
        <v>12</v>
      </c>
      <c r="M88" s="2"/>
      <c r="O88" s="15"/>
      <c r="P88" s="40" t="str">
        <f t="shared" si="38"/>
        <v>20-Apr</v>
      </c>
      <c r="Q88" s="43">
        <f t="shared" si="37"/>
        <v>140973.45759999997</v>
      </c>
      <c r="R88" s="42" t="str">
        <f t="shared" si="41"/>
        <v>20-Apr</v>
      </c>
      <c r="S88" s="44">
        <f t="shared" si="39"/>
        <v>1011.2914</v>
      </c>
      <c r="T88" s="31"/>
      <c r="U88" s="31">
        <f t="shared" si="40"/>
        <v>1011.2914</v>
      </c>
    </row>
    <row r="89" spans="4:21" ht="18" customHeight="1" x14ac:dyDescent="0.25">
      <c r="H89" s="59">
        <v>47076.72</v>
      </c>
      <c r="I89" s="52">
        <f>SUM(I76:I88)</f>
        <v>15894.335199999998</v>
      </c>
      <c r="J89" s="55"/>
      <c r="K89" s="60"/>
      <c r="L89" s="61">
        <f>I89/B13</f>
        <v>0.79471675999999991</v>
      </c>
      <c r="M89" s="22">
        <f>I89</f>
        <v>15894.335199999998</v>
      </c>
      <c r="N89" s="1">
        <v>12</v>
      </c>
      <c r="O89" s="15"/>
      <c r="P89" s="40" t="str">
        <f t="shared" si="38"/>
        <v>20-May</v>
      </c>
      <c r="Q89" s="43">
        <f t="shared" si="37"/>
        <v>141952.20759999997</v>
      </c>
      <c r="R89" s="42" t="str">
        <f t="shared" si="41"/>
        <v>20-May</v>
      </c>
      <c r="S89" s="44">
        <f t="shared" si="39"/>
        <v>978.75</v>
      </c>
      <c r="T89" s="31"/>
      <c r="U89" s="31">
        <f t="shared" si="40"/>
        <v>978.75</v>
      </c>
    </row>
    <row r="90" spans="4:21" ht="18" customHeight="1" x14ac:dyDescent="0.25">
      <c r="H90" s="62"/>
      <c r="I90" s="52"/>
      <c r="J90" s="55"/>
      <c r="K90" s="60"/>
      <c r="L90" s="61"/>
      <c r="M90" s="22"/>
      <c r="O90" s="15"/>
      <c r="P90" s="40" t="str">
        <f t="shared" si="38"/>
        <v>20-Jun</v>
      </c>
      <c r="Q90" s="43">
        <f t="shared" si="37"/>
        <v>142116.70759999997</v>
      </c>
      <c r="R90" s="42" t="str">
        <f t="shared" si="41"/>
        <v>20-Jun</v>
      </c>
      <c r="S90" s="44">
        <f t="shared" si="39"/>
        <v>164.5</v>
      </c>
      <c r="T90" s="31"/>
      <c r="U90" s="31">
        <f t="shared" si="40"/>
        <v>164.5</v>
      </c>
    </row>
    <row r="91" spans="4:21" ht="18" customHeight="1" x14ac:dyDescent="0.25">
      <c r="D91" s="68" t="s">
        <v>63</v>
      </c>
      <c r="E91" s="53">
        <f>E76</f>
        <v>25000</v>
      </c>
      <c r="F91" s="95">
        <v>0</v>
      </c>
      <c r="G91" s="53">
        <f>-I89</f>
        <v>-15894.335199999998</v>
      </c>
      <c r="H91" s="54">
        <v>7262.5</v>
      </c>
      <c r="I91" s="69">
        <f>H91*B15</f>
        <v>2687.125</v>
      </c>
      <c r="J91" s="55">
        <f>H91</f>
        <v>7262.5</v>
      </c>
      <c r="K91" s="53">
        <f>H91+E91</f>
        <v>32262.5</v>
      </c>
      <c r="L91" s="56">
        <f>H91/E91</f>
        <v>0.29049999999999998</v>
      </c>
      <c r="M91" s="22"/>
      <c r="O91" s="15"/>
      <c r="P91" s="40" t="str">
        <f t="shared" si="38"/>
        <v>20-Jul</v>
      </c>
      <c r="Q91" s="43">
        <f t="shared" si="37"/>
        <v>154254.05759999997</v>
      </c>
      <c r="R91" s="42" t="str">
        <f t="shared" si="41"/>
        <v>20-Jul</v>
      </c>
      <c r="S91" s="44">
        <f t="shared" si="39"/>
        <v>12137.35</v>
      </c>
      <c r="T91" s="31"/>
      <c r="U91" s="31">
        <f t="shared" si="40"/>
        <v>12137.35</v>
      </c>
    </row>
    <row r="92" spans="4:21" ht="18" customHeight="1" x14ac:dyDescent="0.25">
      <c r="D92" s="68" t="s">
        <v>65</v>
      </c>
      <c r="E92" s="53">
        <f t="shared" ref="E92:E102" si="43">K91</f>
        <v>32262.5</v>
      </c>
      <c r="F92" s="95">
        <f t="shared" ref="F92:G102" si="44">F91</f>
        <v>0</v>
      </c>
      <c r="G92" s="53">
        <f>F92</f>
        <v>0</v>
      </c>
      <c r="H92" s="54">
        <v>4700.3</v>
      </c>
      <c r="I92" s="69">
        <f>H92*B15</f>
        <v>1739.1110000000001</v>
      </c>
      <c r="J92" s="55"/>
      <c r="K92" s="53">
        <f t="shared" ref="K92:K102" si="45">I92+E92</f>
        <v>34001.610999999997</v>
      </c>
      <c r="L92" s="56">
        <f t="shared" ref="L92:L102" si="46">I92/E92</f>
        <v>5.3905029058504458E-2</v>
      </c>
      <c r="M92" s="22"/>
      <c r="O92" s="15"/>
      <c r="P92" s="40" t="str">
        <f t="shared" si="38"/>
        <v>20-Aug</v>
      </c>
      <c r="Q92" s="43">
        <f t="shared" si="37"/>
        <v>155986.99759999997</v>
      </c>
      <c r="R92" s="42" t="str">
        <f t="shared" si="41"/>
        <v>20-Aug</v>
      </c>
      <c r="S92" s="44">
        <f t="shared" si="39"/>
        <v>1732.94</v>
      </c>
      <c r="T92" s="31"/>
      <c r="U92" s="31">
        <f t="shared" si="40"/>
        <v>1732.94</v>
      </c>
    </row>
    <row r="93" spans="4:21" ht="18" customHeight="1" x14ac:dyDescent="0.25">
      <c r="D93" s="68" t="s">
        <v>66</v>
      </c>
      <c r="E93" s="53">
        <f t="shared" si="43"/>
        <v>34001.610999999997</v>
      </c>
      <c r="F93" s="95">
        <f t="shared" si="44"/>
        <v>0</v>
      </c>
      <c r="G93" s="53">
        <f>F93</f>
        <v>0</v>
      </c>
      <c r="H93" s="57">
        <v>-4081.41</v>
      </c>
      <c r="I93" s="53">
        <f>H93*B14</f>
        <v>-1346.8652999999999</v>
      </c>
      <c r="J93" s="55"/>
      <c r="K93" s="53">
        <f t="shared" si="45"/>
        <v>32654.745699999996</v>
      </c>
      <c r="L93" s="56">
        <f t="shared" si="46"/>
        <v>-3.9611808393431709E-2</v>
      </c>
      <c r="M93" s="22"/>
      <c r="O93" s="15"/>
      <c r="P93" s="40" t="str">
        <f t="shared" si="38"/>
        <v>20-Sep</v>
      </c>
      <c r="Q93" s="43">
        <f t="shared" si="37"/>
        <v>153574.49759999997</v>
      </c>
      <c r="R93" s="42" t="str">
        <f t="shared" si="41"/>
        <v>20-Sep</v>
      </c>
      <c r="S93" s="44"/>
      <c r="T93" s="44">
        <f>U93</f>
        <v>-2412.5</v>
      </c>
      <c r="U93" s="31">
        <f t="shared" si="40"/>
        <v>-2412.5</v>
      </c>
    </row>
    <row r="94" spans="4:21" ht="18" customHeight="1" x14ac:dyDescent="0.25">
      <c r="D94" s="68" t="s">
        <v>67</v>
      </c>
      <c r="E94" s="53">
        <f t="shared" si="43"/>
        <v>32654.745699999996</v>
      </c>
      <c r="F94" s="95">
        <f t="shared" si="44"/>
        <v>0</v>
      </c>
      <c r="G94" s="53">
        <f t="shared" ref="G94:G100" si="47">G93</f>
        <v>0</v>
      </c>
      <c r="H94" s="57">
        <v>-5605.34</v>
      </c>
      <c r="I94" s="53">
        <f>H94*B14</f>
        <v>-1849.7622000000001</v>
      </c>
      <c r="J94" s="55"/>
      <c r="K94" s="53">
        <f t="shared" si="45"/>
        <v>30804.983499999995</v>
      </c>
      <c r="L94" s="56">
        <f t="shared" si="46"/>
        <v>-5.6646045171927346E-2</v>
      </c>
      <c r="M94" s="22"/>
      <c r="O94" s="15"/>
      <c r="P94" s="40" t="str">
        <f t="shared" si="38"/>
        <v>20-Oct</v>
      </c>
      <c r="Q94" s="43">
        <f t="shared" si="37"/>
        <v>152666.99759999997</v>
      </c>
      <c r="R94" s="42" t="str">
        <f t="shared" si="41"/>
        <v>20-Oct</v>
      </c>
      <c r="S94" s="44"/>
      <c r="T94" s="44">
        <f>U94</f>
        <v>-907.5</v>
      </c>
      <c r="U94" s="31">
        <f t="shared" si="40"/>
        <v>-907.5</v>
      </c>
    </row>
    <row r="95" spans="4:21" ht="18" customHeight="1" x14ac:dyDescent="0.25">
      <c r="D95" s="68" t="s">
        <v>68</v>
      </c>
      <c r="E95" s="53">
        <f t="shared" si="43"/>
        <v>30804.983499999995</v>
      </c>
      <c r="F95" s="95">
        <f t="shared" si="44"/>
        <v>0</v>
      </c>
      <c r="G95" s="53">
        <f t="shared" si="47"/>
        <v>0</v>
      </c>
      <c r="H95" s="57">
        <v>-1042.82</v>
      </c>
      <c r="I95" s="53">
        <f>H95*B14</f>
        <v>-344.13060000000002</v>
      </c>
      <c r="J95" s="55"/>
      <c r="K95" s="53">
        <f t="shared" si="45"/>
        <v>30460.852899999994</v>
      </c>
      <c r="L95" s="56">
        <f t="shared" si="46"/>
        <v>-1.1171263896310806E-2</v>
      </c>
      <c r="M95" s="22"/>
      <c r="O95" s="15"/>
      <c r="P95" s="40" t="str">
        <f t="shared" si="38"/>
        <v>20-Nov</v>
      </c>
      <c r="Q95" s="43">
        <f t="shared" si="37"/>
        <v>152666.99759999997</v>
      </c>
      <c r="R95" s="42" t="str">
        <f t="shared" si="41"/>
        <v>20-Nov</v>
      </c>
      <c r="S95" s="44">
        <f t="shared" ref="S95:S102" si="48">U95</f>
        <v>0</v>
      </c>
      <c r="T95" s="44"/>
      <c r="U95" s="31">
        <f>I116</f>
        <v>0</v>
      </c>
    </row>
    <row r="96" spans="4:21" ht="18" customHeight="1" x14ac:dyDescent="0.25">
      <c r="D96" s="68" t="s">
        <v>69</v>
      </c>
      <c r="E96" s="53">
        <f t="shared" si="43"/>
        <v>30460.852899999994</v>
      </c>
      <c r="F96" s="95">
        <f t="shared" si="44"/>
        <v>0</v>
      </c>
      <c r="G96" s="53">
        <f t="shared" si="47"/>
        <v>0</v>
      </c>
      <c r="H96" s="54">
        <v>19502.7</v>
      </c>
      <c r="I96" s="69">
        <f>H96*B15</f>
        <v>7215.9989999999998</v>
      </c>
      <c r="J96" s="55"/>
      <c r="K96" s="53">
        <f t="shared" si="45"/>
        <v>37676.851899999994</v>
      </c>
      <c r="L96" s="56">
        <f t="shared" si="46"/>
        <v>0.23689418755572669</v>
      </c>
      <c r="M96" s="22"/>
      <c r="O96" s="38"/>
      <c r="P96" s="40" t="str">
        <f t="shared" si="38"/>
        <v>20-Dec</v>
      </c>
      <c r="Q96" s="43">
        <f t="shared" si="37"/>
        <v>154563.50759999998</v>
      </c>
      <c r="R96" s="42" t="str">
        <f t="shared" si="41"/>
        <v>20-Dec</v>
      </c>
      <c r="S96" s="44">
        <f t="shared" si="48"/>
        <v>1896.51</v>
      </c>
      <c r="T96" s="44"/>
      <c r="U96" s="31">
        <f t="shared" si="40"/>
        <v>1896.51</v>
      </c>
    </row>
    <row r="97" spans="4:21" ht="18" customHeight="1" x14ac:dyDescent="0.25">
      <c r="D97" s="68" t="s">
        <v>70</v>
      </c>
      <c r="E97" s="53">
        <f t="shared" si="43"/>
        <v>37676.851899999994</v>
      </c>
      <c r="F97" s="95">
        <f t="shared" si="44"/>
        <v>0</v>
      </c>
      <c r="G97" s="53">
        <f t="shared" si="47"/>
        <v>0</v>
      </c>
      <c r="H97" s="54">
        <v>5074.74</v>
      </c>
      <c r="I97" s="69">
        <f>H97*B15</f>
        <v>1877.6537999999998</v>
      </c>
      <c r="J97" s="55"/>
      <c r="K97" s="53">
        <f t="shared" si="45"/>
        <v>39554.505699999994</v>
      </c>
      <c r="L97" s="56">
        <f t="shared" si="46"/>
        <v>4.9835740124561739E-2</v>
      </c>
      <c r="M97" s="22"/>
      <c r="O97" s="15"/>
      <c r="P97" s="45">
        <f t="shared" ref="P97:P102" si="49">D121</f>
        <v>44217</v>
      </c>
      <c r="Q97" s="43">
        <f t="shared" si="37"/>
        <v>154068.75759999998</v>
      </c>
      <c r="R97" s="42" t="s">
        <v>95</v>
      </c>
      <c r="S97" s="44"/>
      <c r="T97" s="44">
        <f>U97</f>
        <v>-494.75</v>
      </c>
      <c r="U97" s="31">
        <f t="shared" ref="U97:U102" si="50">I121</f>
        <v>-494.75</v>
      </c>
    </row>
    <row r="98" spans="4:21" ht="18" customHeight="1" x14ac:dyDescent="0.25">
      <c r="D98" s="68" t="s">
        <v>76</v>
      </c>
      <c r="E98" s="53">
        <f t="shared" si="43"/>
        <v>39554.505699999994</v>
      </c>
      <c r="F98" s="95">
        <f t="shared" si="44"/>
        <v>0</v>
      </c>
      <c r="G98" s="53">
        <f t="shared" si="47"/>
        <v>0</v>
      </c>
      <c r="H98" s="54">
        <v>24563.26</v>
      </c>
      <c r="I98" s="69">
        <f>H98*B15</f>
        <v>9088.4061999999994</v>
      </c>
      <c r="J98" s="55"/>
      <c r="K98" s="53">
        <f t="shared" si="45"/>
        <v>48642.911899999992</v>
      </c>
      <c r="L98" s="56">
        <f t="shared" si="46"/>
        <v>0.22976917646072367</v>
      </c>
      <c r="M98" s="22"/>
      <c r="O98" s="15"/>
      <c r="P98" s="45">
        <f t="shared" si="49"/>
        <v>44248</v>
      </c>
      <c r="Q98" s="43">
        <f t="shared" ref="Q98:Q102" si="51">Q97+U98</f>
        <v>155777.00759999998</v>
      </c>
      <c r="R98" s="45">
        <f t="shared" ref="R98:R103" si="52">P98</f>
        <v>44248</v>
      </c>
      <c r="S98" s="44">
        <f t="shared" si="48"/>
        <v>1708.25</v>
      </c>
      <c r="T98" s="44"/>
      <c r="U98" s="31">
        <f t="shared" si="50"/>
        <v>1708.25</v>
      </c>
    </row>
    <row r="99" spans="4:21" ht="18" customHeight="1" x14ac:dyDescent="0.25">
      <c r="D99" s="68" t="s">
        <v>77</v>
      </c>
      <c r="E99" s="53">
        <f t="shared" si="43"/>
        <v>48642.911899999992</v>
      </c>
      <c r="F99" s="95">
        <f t="shared" si="44"/>
        <v>0</v>
      </c>
      <c r="G99" s="53">
        <f t="shared" si="47"/>
        <v>0</v>
      </c>
      <c r="H99" s="57">
        <v>-4793.92</v>
      </c>
      <c r="I99" s="53">
        <f>H99*B14</f>
        <v>-1581.9936</v>
      </c>
      <c r="J99" s="55"/>
      <c r="K99" s="53">
        <f t="shared" si="45"/>
        <v>47060.91829999999</v>
      </c>
      <c r="L99" s="56">
        <f t="shared" si="46"/>
        <v>-3.2522592464288722E-2</v>
      </c>
      <c r="M99" s="22"/>
      <c r="O99" s="15"/>
      <c r="P99" s="45">
        <f t="shared" si="49"/>
        <v>44276</v>
      </c>
      <c r="Q99" s="43">
        <f t="shared" si="51"/>
        <v>158378.87759999998</v>
      </c>
      <c r="R99" s="45">
        <f t="shared" si="52"/>
        <v>44276</v>
      </c>
      <c r="S99" s="44">
        <f t="shared" si="48"/>
        <v>2601.87</v>
      </c>
      <c r="T99" s="44"/>
      <c r="U99" s="31">
        <f t="shared" si="50"/>
        <v>2601.87</v>
      </c>
    </row>
    <row r="100" spans="4:21" ht="18" customHeight="1" x14ac:dyDescent="0.25">
      <c r="D100" s="68" t="s">
        <v>79</v>
      </c>
      <c r="E100" s="53">
        <f t="shared" si="43"/>
        <v>47060.91829999999</v>
      </c>
      <c r="F100" s="95">
        <f t="shared" si="44"/>
        <v>0</v>
      </c>
      <c r="G100" s="53">
        <f t="shared" si="47"/>
        <v>0</v>
      </c>
      <c r="H100" s="54">
        <v>2594.91</v>
      </c>
      <c r="I100" s="53">
        <f>2967.29*B15</f>
        <v>1097.8973000000001</v>
      </c>
      <c r="J100" s="55"/>
      <c r="K100" s="53">
        <f t="shared" si="45"/>
        <v>48158.815599999987</v>
      </c>
      <c r="L100" s="56">
        <f t="shared" si="46"/>
        <v>2.3329279148384157E-2</v>
      </c>
      <c r="M100" s="22"/>
      <c r="O100" s="15"/>
      <c r="P100" s="45">
        <f t="shared" si="49"/>
        <v>44307</v>
      </c>
      <c r="Q100" s="43">
        <f t="shared" si="51"/>
        <v>157486.37759999998</v>
      </c>
      <c r="R100" s="45">
        <f t="shared" si="52"/>
        <v>44307</v>
      </c>
      <c r="S100" s="44"/>
      <c r="T100" s="44">
        <f>U100</f>
        <v>-892.5</v>
      </c>
      <c r="U100" s="31">
        <f t="shared" si="50"/>
        <v>-892.5</v>
      </c>
    </row>
    <row r="101" spans="4:21" ht="18" customHeight="1" x14ac:dyDescent="0.25">
      <c r="D101" s="68" t="s">
        <v>80</v>
      </c>
      <c r="E101" s="53">
        <f t="shared" si="43"/>
        <v>48158.815599999987</v>
      </c>
      <c r="F101" s="95">
        <f t="shared" si="44"/>
        <v>0</v>
      </c>
      <c r="G101" s="53">
        <f t="shared" si="44"/>
        <v>0</v>
      </c>
      <c r="H101" s="54">
        <v>2736.54</v>
      </c>
      <c r="I101" s="53">
        <f>H101*B15</f>
        <v>1012.5197999999999</v>
      </c>
      <c r="J101" s="55"/>
      <c r="K101" s="53">
        <f t="shared" si="45"/>
        <v>49171.335399999989</v>
      </c>
      <c r="L101" s="56">
        <f t="shared" si="46"/>
        <v>2.102459928437277E-2</v>
      </c>
      <c r="M101" s="22"/>
      <c r="O101" s="15"/>
      <c r="P101" s="45">
        <f t="shared" si="49"/>
        <v>44337</v>
      </c>
      <c r="Q101" s="43">
        <f t="shared" si="51"/>
        <v>164236.87759999998</v>
      </c>
      <c r="R101" s="45">
        <f t="shared" si="52"/>
        <v>44337</v>
      </c>
      <c r="S101" s="44">
        <f t="shared" si="48"/>
        <v>6750.5</v>
      </c>
      <c r="U101" s="31">
        <f t="shared" si="50"/>
        <v>6750.5</v>
      </c>
    </row>
    <row r="102" spans="4:21" ht="18" customHeight="1" x14ac:dyDescent="0.25">
      <c r="D102" s="68" t="s">
        <v>81</v>
      </c>
      <c r="E102" s="53">
        <f t="shared" si="43"/>
        <v>49171.335399999989</v>
      </c>
      <c r="F102" s="95">
        <f t="shared" si="44"/>
        <v>0</v>
      </c>
      <c r="G102" s="53">
        <f t="shared" si="44"/>
        <v>0</v>
      </c>
      <c r="H102" s="54">
        <v>12772.38</v>
      </c>
      <c r="I102" s="53">
        <f>3994.82*B15</f>
        <v>1478.0834</v>
      </c>
      <c r="J102" s="55"/>
      <c r="K102" s="53">
        <f t="shared" si="45"/>
        <v>50649.418799999992</v>
      </c>
      <c r="L102" s="56">
        <f t="shared" si="46"/>
        <v>3.0059858817663924E-2</v>
      </c>
      <c r="M102" s="22"/>
      <c r="O102" s="15"/>
      <c r="P102" s="45">
        <f t="shared" si="49"/>
        <v>44368</v>
      </c>
      <c r="Q102" s="43">
        <f t="shared" si="51"/>
        <v>166015.97759999998</v>
      </c>
      <c r="R102" s="45">
        <f t="shared" si="52"/>
        <v>44368</v>
      </c>
      <c r="S102" s="44">
        <f t="shared" si="48"/>
        <v>1779.1</v>
      </c>
      <c r="U102" s="31">
        <f t="shared" si="50"/>
        <v>1779.1</v>
      </c>
    </row>
    <row r="103" spans="4:21" ht="18" customHeight="1" x14ac:dyDescent="0.25">
      <c r="H103" s="58" t="s">
        <v>11</v>
      </c>
      <c r="I103" s="46" t="s">
        <v>11</v>
      </c>
      <c r="J103" s="55" t="str">
        <f t="shared" ref="J103" si="53">I103</f>
        <v>-----------</v>
      </c>
      <c r="L103" s="67" t="s">
        <v>12</v>
      </c>
      <c r="M103" s="22"/>
      <c r="O103" s="15"/>
      <c r="P103" s="45">
        <f t="shared" ref="P103" si="54">D127</f>
        <v>44398</v>
      </c>
      <c r="Q103" s="43">
        <f t="shared" ref="Q103" si="55">Q102+U103</f>
        <v>167636.47759999998</v>
      </c>
      <c r="R103" s="45">
        <f t="shared" si="52"/>
        <v>44398</v>
      </c>
      <c r="S103" s="44">
        <f t="shared" ref="S103:S105" si="56">U103</f>
        <v>1620.5</v>
      </c>
      <c r="U103" s="31">
        <f t="shared" ref="U103" si="57">I127</f>
        <v>1620.5</v>
      </c>
    </row>
    <row r="104" spans="4:21" ht="18" customHeight="1" x14ac:dyDescent="0.25">
      <c r="H104" s="59">
        <v>66683.839999999997</v>
      </c>
      <c r="I104" s="52">
        <f>SUM(I91:I103)</f>
        <v>21074.043799999996</v>
      </c>
      <c r="J104" s="55"/>
      <c r="K104" s="60"/>
      <c r="L104" s="61">
        <f>I104/E91</f>
        <v>0.84296175199999979</v>
      </c>
      <c r="M104" s="22">
        <f>I104</f>
        <v>21074.043799999996</v>
      </c>
      <c r="N104" s="1">
        <v>12</v>
      </c>
      <c r="O104" s="15"/>
      <c r="P104" s="45">
        <f t="shared" ref="P104:P105" si="58">D128</f>
        <v>44429</v>
      </c>
      <c r="Q104" s="43">
        <f t="shared" ref="Q104:Q105" si="59">Q103+U104</f>
        <v>166169.22759999998</v>
      </c>
      <c r="R104" s="45">
        <f t="shared" ref="R104:R105" si="60">P104</f>
        <v>44429</v>
      </c>
      <c r="T104" s="44">
        <f>U104</f>
        <v>-1467.25</v>
      </c>
      <c r="U104" s="31">
        <f t="shared" ref="U104:U105" si="61">I128</f>
        <v>-1467.25</v>
      </c>
    </row>
    <row r="105" spans="4:21" ht="18" customHeight="1" x14ac:dyDescent="0.25">
      <c r="H105" s="62"/>
      <c r="I105" s="52"/>
      <c r="J105" s="55"/>
      <c r="K105" s="60"/>
      <c r="L105" s="61"/>
      <c r="M105" s="22"/>
      <c r="O105" s="15"/>
      <c r="P105" s="45">
        <f t="shared" si="58"/>
        <v>44460</v>
      </c>
      <c r="Q105" s="43">
        <f t="shared" si="59"/>
        <v>166866.4276</v>
      </c>
      <c r="R105" s="45">
        <f t="shared" si="60"/>
        <v>44460</v>
      </c>
      <c r="S105" s="44">
        <f t="shared" si="56"/>
        <v>697.2</v>
      </c>
      <c r="U105" s="31">
        <f t="shared" si="61"/>
        <v>697.2</v>
      </c>
    </row>
    <row r="106" spans="4:21" ht="18" customHeight="1" x14ac:dyDescent="0.25">
      <c r="D106" s="68" t="s">
        <v>83</v>
      </c>
      <c r="E106" s="53">
        <f>E91</f>
        <v>25000</v>
      </c>
      <c r="F106" s="95">
        <v>0</v>
      </c>
      <c r="G106" s="53">
        <f>-I104</f>
        <v>-21074.043799999996</v>
      </c>
      <c r="H106" s="54">
        <v>10896.54</v>
      </c>
      <c r="I106" s="69">
        <f>H106*B15</f>
        <v>4031.7198000000003</v>
      </c>
      <c r="J106" s="55">
        <f>H106</f>
        <v>10896.54</v>
      </c>
      <c r="K106" s="53">
        <f>E106+I106</f>
        <v>29031.719799999999</v>
      </c>
      <c r="L106" s="56">
        <f>I106/E106</f>
        <v>0.16126879200000002</v>
      </c>
      <c r="M106" s="22"/>
      <c r="O106" s="15"/>
      <c r="P106" s="45">
        <f>D130</f>
        <v>44490</v>
      </c>
      <c r="Q106" s="43">
        <f t="shared" ref="Q106" si="62">Q105+U106</f>
        <v>167653.9276</v>
      </c>
      <c r="R106" s="45">
        <f t="shared" ref="R106" si="63">P106</f>
        <v>44490</v>
      </c>
      <c r="S106" s="44">
        <f t="shared" ref="S106" si="64">U106</f>
        <v>787.5</v>
      </c>
      <c r="U106" s="31">
        <f t="shared" ref="U106" si="65">I130</f>
        <v>787.5</v>
      </c>
    </row>
    <row r="107" spans="4:21" ht="18" customHeight="1" x14ac:dyDescent="0.25">
      <c r="D107" s="68" t="s">
        <v>84</v>
      </c>
      <c r="E107" s="53">
        <f t="shared" ref="E107:E117" si="66">K106</f>
        <v>29031.719799999999</v>
      </c>
      <c r="F107" s="95">
        <v>0</v>
      </c>
      <c r="G107" s="53">
        <v>0</v>
      </c>
      <c r="H107" s="54">
        <v>6972.18</v>
      </c>
      <c r="I107" s="69">
        <f>H107*B15</f>
        <v>2579.7066</v>
      </c>
      <c r="J107" s="55"/>
      <c r="K107" s="53">
        <f t="shared" ref="K107:K117" si="67">K106+I107</f>
        <v>31611.4264</v>
      </c>
      <c r="L107" s="56">
        <f t="shared" ref="L107:L117" si="68">I107/K106</f>
        <v>8.8858208117591445E-2</v>
      </c>
      <c r="M107" s="22"/>
      <c r="O107" s="15"/>
      <c r="P107" s="45">
        <f>D131</f>
        <v>44521</v>
      </c>
      <c r="Q107" s="43">
        <f t="shared" ref="Q107" si="69">Q106+U107</f>
        <v>168787.07759999999</v>
      </c>
      <c r="R107" s="45">
        <f t="shared" ref="R107" si="70">P107</f>
        <v>44521</v>
      </c>
      <c r="S107" s="44">
        <f t="shared" ref="S107" si="71">U107</f>
        <v>1133.1500000000001</v>
      </c>
      <c r="U107" s="31">
        <f t="shared" ref="U107" si="72">I131</f>
        <v>1133.1500000000001</v>
      </c>
    </row>
    <row r="108" spans="4:21" ht="18" customHeight="1" x14ac:dyDescent="0.25">
      <c r="D108" s="68" t="s">
        <v>85</v>
      </c>
      <c r="E108" s="53">
        <f t="shared" si="66"/>
        <v>31611.4264</v>
      </c>
      <c r="F108" s="95">
        <v>0</v>
      </c>
      <c r="G108" s="53">
        <v>0</v>
      </c>
      <c r="H108" s="54">
        <v>5003.74</v>
      </c>
      <c r="I108" s="69">
        <f>H108*B15</f>
        <v>1851.3837999999998</v>
      </c>
      <c r="J108" s="55"/>
      <c r="K108" s="53">
        <f t="shared" si="67"/>
        <v>33462.8102</v>
      </c>
      <c r="L108" s="56">
        <f t="shared" si="68"/>
        <v>5.8566917435905384E-2</v>
      </c>
      <c r="M108" s="22"/>
      <c r="O108" s="15"/>
      <c r="P108" s="45">
        <v>44531</v>
      </c>
      <c r="Q108" s="43">
        <f t="shared" ref="Q108:Q109" si="73">Q107+U108</f>
        <v>169038.2776</v>
      </c>
      <c r="R108" s="45">
        <f t="shared" ref="R108:R109" si="74">P108</f>
        <v>44531</v>
      </c>
      <c r="S108" s="44">
        <f t="shared" ref="S108" si="75">U108</f>
        <v>251.2</v>
      </c>
      <c r="U108" s="31">
        <f t="shared" ref="U108" si="76">I132</f>
        <v>251.2</v>
      </c>
    </row>
    <row r="109" spans="4:21" ht="18" customHeight="1" x14ac:dyDescent="0.25">
      <c r="D109" s="68" t="s">
        <v>86</v>
      </c>
      <c r="E109" s="53">
        <f t="shared" si="66"/>
        <v>33462.8102</v>
      </c>
      <c r="F109" s="95">
        <v>0</v>
      </c>
      <c r="G109" s="53">
        <v>0</v>
      </c>
      <c r="H109" s="54">
        <v>2733.22</v>
      </c>
      <c r="I109" s="53">
        <f>H109*B15</f>
        <v>1011.2914</v>
      </c>
      <c r="J109" s="55"/>
      <c r="K109" s="53">
        <f t="shared" si="67"/>
        <v>34474.101600000002</v>
      </c>
      <c r="L109" s="56">
        <f t="shared" si="68"/>
        <v>3.0221353017147377E-2</v>
      </c>
      <c r="M109" s="22"/>
      <c r="O109" s="15"/>
      <c r="P109" s="45">
        <f t="shared" ref="P109" si="77">D136</f>
        <v>44582</v>
      </c>
      <c r="Q109" s="43">
        <f t="shared" si="73"/>
        <v>168252.2776</v>
      </c>
      <c r="R109" s="45">
        <f t="shared" si="74"/>
        <v>44582</v>
      </c>
      <c r="S109" s="31"/>
      <c r="T109" s="44">
        <f>U109</f>
        <v>-786</v>
      </c>
      <c r="U109" s="31">
        <f t="shared" ref="U109" si="78">I136</f>
        <v>-786</v>
      </c>
    </row>
    <row r="110" spans="4:21" ht="18" customHeight="1" x14ac:dyDescent="0.25">
      <c r="D110" s="68" t="s">
        <v>87</v>
      </c>
      <c r="E110" s="53">
        <f t="shared" si="66"/>
        <v>34474.101600000002</v>
      </c>
      <c r="F110" s="95">
        <v>0</v>
      </c>
      <c r="G110" s="53">
        <v>0</v>
      </c>
      <c r="H110" s="54"/>
      <c r="I110" s="53">
        <v>978.75</v>
      </c>
      <c r="J110" s="55"/>
      <c r="K110" s="53">
        <f t="shared" si="67"/>
        <v>35452.851600000002</v>
      </c>
      <c r="L110" s="56">
        <f t="shared" si="68"/>
        <v>2.8390877632036682E-2</v>
      </c>
      <c r="M110" s="22"/>
      <c r="O110" s="15"/>
      <c r="P110" s="45">
        <f t="shared" ref="P110:P120" si="79">D137</f>
        <v>44614</v>
      </c>
      <c r="Q110" s="43">
        <f t="shared" ref="Q110:Q120" si="80">Q109+U110</f>
        <v>168402.82759999999</v>
      </c>
      <c r="R110" s="45">
        <f t="shared" ref="R110:R120" si="81">P110</f>
        <v>44614</v>
      </c>
      <c r="S110" s="31">
        <f t="shared" ref="S110:S117" si="82">U110</f>
        <v>150.55000000000001</v>
      </c>
      <c r="T110" s="44"/>
      <c r="U110" s="31">
        <f t="shared" ref="U110:U123" si="83">I137</f>
        <v>150.55000000000001</v>
      </c>
    </row>
    <row r="111" spans="4:21" ht="18" customHeight="1" x14ac:dyDescent="0.25">
      <c r="D111" s="68" t="s">
        <v>88</v>
      </c>
      <c r="E111" s="53">
        <f t="shared" si="66"/>
        <v>35452.851600000002</v>
      </c>
      <c r="F111" s="95">
        <v>0</v>
      </c>
      <c r="G111" s="53">
        <v>0</v>
      </c>
      <c r="H111" s="54"/>
      <c r="I111" s="53">
        <v>164.5</v>
      </c>
      <c r="J111" s="55"/>
      <c r="K111" s="53">
        <f t="shared" si="67"/>
        <v>35617.351600000002</v>
      </c>
      <c r="L111" s="56">
        <f t="shared" si="68"/>
        <v>4.6399652658687682E-3</v>
      </c>
      <c r="M111" s="22"/>
      <c r="O111" s="15"/>
      <c r="P111" s="45">
        <f t="shared" si="79"/>
        <v>44642</v>
      </c>
      <c r="Q111" s="43">
        <f t="shared" si="80"/>
        <v>172208.32759999999</v>
      </c>
      <c r="R111" s="45">
        <f t="shared" si="81"/>
        <v>44642</v>
      </c>
      <c r="S111" s="31">
        <f t="shared" si="82"/>
        <v>3805.5</v>
      </c>
      <c r="T111" s="44"/>
      <c r="U111" s="31">
        <f t="shared" si="83"/>
        <v>3805.5</v>
      </c>
    </row>
    <row r="112" spans="4:21" ht="18" customHeight="1" x14ac:dyDescent="0.25">
      <c r="D112" s="68" t="s">
        <v>89</v>
      </c>
      <c r="E112" s="53">
        <f t="shared" si="66"/>
        <v>35617.351600000002</v>
      </c>
      <c r="F112" s="95">
        <v>0</v>
      </c>
      <c r="G112" s="53">
        <v>0</v>
      </c>
      <c r="H112" s="54"/>
      <c r="I112" s="53">
        <v>12137.35</v>
      </c>
      <c r="J112" s="55"/>
      <c r="K112" s="53">
        <f t="shared" si="67"/>
        <v>47754.7016</v>
      </c>
      <c r="L112" s="56">
        <f t="shared" si="68"/>
        <v>0.34077070457984304</v>
      </c>
      <c r="M112" s="22"/>
      <c r="O112" s="15"/>
      <c r="P112" s="45">
        <f t="shared" si="79"/>
        <v>44673</v>
      </c>
      <c r="Q112" s="43">
        <f t="shared" si="80"/>
        <v>174749.70259999999</v>
      </c>
      <c r="R112" s="45">
        <f t="shared" si="81"/>
        <v>44673</v>
      </c>
      <c r="S112" s="31">
        <f t="shared" si="82"/>
        <v>2541.375</v>
      </c>
      <c r="T112" s="44"/>
      <c r="U112" s="31">
        <f t="shared" si="83"/>
        <v>2541.375</v>
      </c>
    </row>
    <row r="113" spans="4:21 16384:16384" ht="18" customHeight="1" x14ac:dyDescent="0.25">
      <c r="D113" s="68" t="s">
        <v>90</v>
      </c>
      <c r="E113" s="53">
        <f t="shared" si="66"/>
        <v>47754.7016</v>
      </c>
      <c r="F113" s="95">
        <v>0</v>
      </c>
      <c r="G113" s="53">
        <v>0</v>
      </c>
      <c r="H113" s="54"/>
      <c r="I113" s="53">
        <v>1732.94</v>
      </c>
      <c r="J113" s="55"/>
      <c r="K113" s="53">
        <f t="shared" si="67"/>
        <v>49487.641600000003</v>
      </c>
      <c r="L113" s="56">
        <f t="shared" si="68"/>
        <v>3.628836411784845E-2</v>
      </c>
      <c r="M113" s="22"/>
      <c r="O113" s="15"/>
      <c r="P113" s="45">
        <f t="shared" si="79"/>
        <v>44703</v>
      </c>
      <c r="Q113" s="43">
        <f t="shared" si="80"/>
        <v>179460.20259999999</v>
      </c>
      <c r="R113" s="45">
        <f t="shared" si="81"/>
        <v>44703</v>
      </c>
      <c r="S113" s="31">
        <f t="shared" si="82"/>
        <v>4710.5</v>
      </c>
      <c r="T113" s="44"/>
      <c r="U113" s="31">
        <f t="shared" si="83"/>
        <v>4710.5</v>
      </c>
    </row>
    <row r="114" spans="4:21 16384:16384" ht="18" customHeight="1" x14ac:dyDescent="0.25">
      <c r="D114" s="68" t="s">
        <v>91</v>
      </c>
      <c r="E114" s="53">
        <f t="shared" si="66"/>
        <v>49487.641600000003</v>
      </c>
      <c r="F114" s="95">
        <v>0</v>
      </c>
      <c r="G114" s="53">
        <v>0</v>
      </c>
      <c r="H114" s="54"/>
      <c r="I114" s="53">
        <v>-2412.5</v>
      </c>
      <c r="J114" s="55"/>
      <c r="K114" s="53">
        <f t="shared" si="67"/>
        <v>47075.141600000003</v>
      </c>
      <c r="L114" s="56">
        <f t="shared" si="68"/>
        <v>-4.8749544775235354E-2</v>
      </c>
      <c r="M114" s="22"/>
      <c r="O114" s="15"/>
      <c r="P114" s="45">
        <f t="shared" si="79"/>
        <v>44734</v>
      </c>
      <c r="Q114" s="43">
        <f t="shared" si="80"/>
        <v>186750.4026</v>
      </c>
      <c r="R114" s="45">
        <f t="shared" si="81"/>
        <v>44734</v>
      </c>
      <c r="S114" s="31">
        <f t="shared" si="82"/>
        <v>7290.2</v>
      </c>
      <c r="T114" s="44"/>
      <c r="U114" s="31">
        <f t="shared" si="83"/>
        <v>7290.2</v>
      </c>
    </row>
    <row r="115" spans="4:21 16384:16384" ht="18" customHeight="1" x14ac:dyDescent="0.25">
      <c r="D115" s="68" t="s">
        <v>92</v>
      </c>
      <c r="E115" s="53">
        <f t="shared" si="66"/>
        <v>47075.141600000003</v>
      </c>
      <c r="F115" s="95">
        <v>0</v>
      </c>
      <c r="G115" s="53">
        <v>0</v>
      </c>
      <c r="H115" s="54"/>
      <c r="I115" s="53">
        <v>-907.5</v>
      </c>
      <c r="J115" s="55"/>
      <c r="K115" s="53">
        <f t="shared" si="67"/>
        <v>46167.641600000003</v>
      </c>
      <c r="L115" s="56">
        <f t="shared" si="68"/>
        <v>-1.9277690287393633E-2</v>
      </c>
      <c r="M115" s="22"/>
      <c r="O115" s="15"/>
      <c r="P115" s="45">
        <f t="shared" si="79"/>
        <v>44764</v>
      </c>
      <c r="Q115" s="43">
        <f t="shared" si="80"/>
        <v>190278.9026</v>
      </c>
      <c r="R115" s="45">
        <f t="shared" si="81"/>
        <v>44764</v>
      </c>
      <c r="S115" s="31">
        <f t="shared" si="82"/>
        <v>3528.5</v>
      </c>
      <c r="T115" s="44"/>
      <c r="U115" s="31">
        <f t="shared" si="83"/>
        <v>3528.5</v>
      </c>
    </row>
    <row r="116" spans="4:21 16384:16384" ht="18" customHeight="1" x14ac:dyDescent="0.25">
      <c r="D116" s="68" t="s">
        <v>93</v>
      </c>
      <c r="E116" s="53">
        <f t="shared" si="66"/>
        <v>46167.641600000003</v>
      </c>
      <c r="F116" s="95">
        <v>0</v>
      </c>
      <c r="G116" s="53">
        <v>0</v>
      </c>
      <c r="H116" s="54"/>
      <c r="I116" s="53">
        <v>0</v>
      </c>
      <c r="J116" s="55"/>
      <c r="K116" s="53">
        <f t="shared" si="67"/>
        <v>46167.641600000003</v>
      </c>
      <c r="L116" s="56">
        <f t="shared" si="68"/>
        <v>0</v>
      </c>
      <c r="M116" s="22"/>
      <c r="O116" s="15"/>
      <c r="P116" s="45">
        <f t="shared" si="79"/>
        <v>44795</v>
      </c>
      <c r="Q116" s="43">
        <f t="shared" si="80"/>
        <v>191248.60260000001</v>
      </c>
      <c r="R116" s="45">
        <f t="shared" si="81"/>
        <v>44795</v>
      </c>
      <c r="S116" s="31">
        <f t="shared" si="82"/>
        <v>969.7</v>
      </c>
      <c r="T116" s="44"/>
      <c r="U116" s="31">
        <f t="shared" si="83"/>
        <v>969.7</v>
      </c>
    </row>
    <row r="117" spans="4:21 16384:16384" ht="18" customHeight="1" x14ac:dyDescent="0.25">
      <c r="D117" s="68" t="s">
        <v>94</v>
      </c>
      <c r="E117" s="53">
        <f t="shared" si="66"/>
        <v>46167.641600000003</v>
      </c>
      <c r="F117" s="95">
        <v>0</v>
      </c>
      <c r="G117" s="53">
        <v>0</v>
      </c>
      <c r="H117" s="54"/>
      <c r="I117" s="53">
        <v>1896.51</v>
      </c>
      <c r="J117" s="55"/>
      <c r="K117" s="53">
        <f t="shared" si="67"/>
        <v>48064.151600000005</v>
      </c>
      <c r="L117" s="56">
        <f t="shared" si="68"/>
        <v>4.1078771500426825E-2</v>
      </c>
      <c r="M117" s="22"/>
      <c r="O117" s="15"/>
      <c r="P117" s="45">
        <f t="shared" si="79"/>
        <v>44826</v>
      </c>
      <c r="Q117" s="43">
        <f t="shared" si="80"/>
        <v>191969.10260000001</v>
      </c>
      <c r="R117" s="45">
        <f t="shared" si="81"/>
        <v>44826</v>
      </c>
      <c r="S117" s="31">
        <f t="shared" si="82"/>
        <v>720.5</v>
      </c>
      <c r="T117" s="44"/>
      <c r="U117" s="31">
        <f t="shared" si="83"/>
        <v>720.5</v>
      </c>
    </row>
    <row r="118" spans="4:21 16384:16384" ht="18" customHeight="1" x14ac:dyDescent="0.25">
      <c r="H118" s="58" t="s">
        <v>11</v>
      </c>
      <c r="I118" s="46" t="s">
        <v>11</v>
      </c>
      <c r="J118" s="55" t="str">
        <f t="shared" ref="J118" si="84">I118</f>
        <v>-----------</v>
      </c>
      <c r="L118" s="67" t="s">
        <v>12</v>
      </c>
      <c r="M118" s="2"/>
      <c r="O118" s="15"/>
      <c r="P118" s="45">
        <f t="shared" si="79"/>
        <v>44856</v>
      </c>
      <c r="Q118" s="43">
        <f t="shared" si="80"/>
        <v>185158.49260000003</v>
      </c>
      <c r="R118" s="45">
        <f t="shared" si="81"/>
        <v>44856</v>
      </c>
      <c r="S118" s="31"/>
      <c r="T118" s="44">
        <f>U118</f>
        <v>-6810.61</v>
      </c>
      <c r="U118" s="31">
        <f t="shared" si="83"/>
        <v>-6810.61</v>
      </c>
    </row>
    <row r="119" spans="4:21 16384:16384" ht="18" customHeight="1" x14ac:dyDescent="0.25">
      <c r="H119" s="59">
        <v>53902.559999999998</v>
      </c>
      <c r="I119" s="52">
        <f>SUM(I106:I118)</f>
        <v>23064.151599999997</v>
      </c>
      <c r="J119" s="55"/>
      <c r="K119" s="60"/>
      <c r="L119" s="61">
        <f>I119/E106</f>
        <v>0.92256606399999985</v>
      </c>
      <c r="M119" s="23">
        <f>I119</f>
        <v>23064.151599999997</v>
      </c>
      <c r="N119" s="1">
        <v>12</v>
      </c>
      <c r="O119" s="15"/>
      <c r="P119" s="45">
        <f t="shared" si="79"/>
        <v>44887</v>
      </c>
      <c r="Q119" s="43">
        <f t="shared" ref="Q119:Q127" si="85">Q118+U119</f>
        <v>189338.14260000002</v>
      </c>
      <c r="R119" s="45">
        <f t="shared" ref="R119:R127" si="86">P119</f>
        <v>44887</v>
      </c>
      <c r="S119" s="44">
        <f>U119</f>
        <v>4179.6499999999996</v>
      </c>
      <c r="T119" s="44"/>
      <c r="U119" s="31">
        <f t="shared" si="83"/>
        <v>4179.6499999999996</v>
      </c>
    </row>
    <row r="120" spans="4:21 16384:16384" ht="18" customHeight="1" x14ac:dyDescent="0.25">
      <c r="H120" s="59"/>
      <c r="I120" s="52"/>
      <c r="J120" s="55"/>
      <c r="K120" s="60"/>
      <c r="L120" s="61"/>
      <c r="M120" s="23"/>
      <c r="O120" s="15"/>
      <c r="P120" s="45">
        <f t="shared" si="79"/>
        <v>44917</v>
      </c>
      <c r="Q120" s="43">
        <f t="shared" si="80"/>
        <v>196184.39260000002</v>
      </c>
      <c r="R120" s="45">
        <f t="shared" si="81"/>
        <v>44917</v>
      </c>
      <c r="S120" s="31">
        <f t="shared" ref="S120:S125" si="87">U120</f>
        <v>6846.25</v>
      </c>
      <c r="T120" s="44"/>
      <c r="U120" s="31">
        <f t="shared" si="83"/>
        <v>6846.25</v>
      </c>
    </row>
    <row r="121" spans="4:21 16384:16384" ht="18" customHeight="1" x14ac:dyDescent="0.25">
      <c r="D121" s="51">
        <v>44217</v>
      </c>
      <c r="E121" s="53">
        <f>E106</f>
        <v>25000</v>
      </c>
      <c r="F121" s="95">
        <f t="shared" ref="F121:G129" si="88">F117</f>
        <v>0</v>
      </c>
      <c r="G121" s="53">
        <f>E106-K117</f>
        <v>-23064.151600000005</v>
      </c>
      <c r="H121" s="59"/>
      <c r="I121" s="53">
        <v>-494.75</v>
      </c>
      <c r="J121" s="55"/>
      <c r="K121" s="53">
        <f t="shared" ref="K121:K130" si="89">E121+I121</f>
        <v>24505.25</v>
      </c>
      <c r="L121" s="56">
        <f t="shared" ref="L121:L130" si="90">I121/E121</f>
        <v>-1.9789999999999999E-2</v>
      </c>
      <c r="M121" s="23"/>
      <c r="O121" s="15"/>
      <c r="P121" s="45">
        <f>D136</f>
        <v>44582</v>
      </c>
      <c r="Q121" s="43">
        <f t="shared" ref="Q121" si="91">Q120+U121</f>
        <v>207821.51260000002</v>
      </c>
      <c r="R121" s="45">
        <f t="shared" ref="R121" si="92">P121</f>
        <v>44582</v>
      </c>
      <c r="S121" s="31">
        <f t="shared" si="87"/>
        <v>11637.12</v>
      </c>
      <c r="T121" s="44"/>
      <c r="U121" s="31">
        <f>I151</f>
        <v>11637.12</v>
      </c>
    </row>
    <row r="122" spans="4:21 16384:16384" ht="18" customHeight="1" x14ac:dyDescent="0.25">
      <c r="D122" s="51">
        <v>44248</v>
      </c>
      <c r="E122" s="53">
        <f t="shared" ref="E122:E129" si="93">K121</f>
        <v>24505.25</v>
      </c>
      <c r="F122" s="95">
        <f t="shared" si="88"/>
        <v>0</v>
      </c>
      <c r="G122" s="53">
        <v>0</v>
      </c>
      <c r="H122" s="59"/>
      <c r="I122" s="53">
        <v>1708.25</v>
      </c>
      <c r="J122" s="55"/>
      <c r="K122" s="53">
        <f t="shared" si="89"/>
        <v>26213.5</v>
      </c>
      <c r="L122" s="56">
        <f t="shared" si="90"/>
        <v>6.9709552034768058E-2</v>
      </c>
      <c r="M122" s="23"/>
      <c r="O122" s="15"/>
      <c r="P122" s="45">
        <f>D137</f>
        <v>44614</v>
      </c>
      <c r="Q122" s="43">
        <f t="shared" ref="Q122" si="94">Q121+U122</f>
        <v>210863.88760000002</v>
      </c>
      <c r="R122" s="45">
        <f t="shared" ref="R122" si="95">P122</f>
        <v>44614</v>
      </c>
      <c r="S122" s="31">
        <f t="shared" si="87"/>
        <v>3042.375</v>
      </c>
      <c r="T122" s="44"/>
      <c r="U122" s="31">
        <f>I152</f>
        <v>3042.375</v>
      </c>
    </row>
    <row r="123" spans="4:21 16384:16384" ht="18" customHeight="1" x14ac:dyDescent="0.25">
      <c r="D123" s="51">
        <v>44276</v>
      </c>
      <c r="E123" s="53">
        <f t="shared" si="93"/>
        <v>26213.5</v>
      </c>
      <c r="F123" s="95">
        <f t="shared" si="88"/>
        <v>0</v>
      </c>
      <c r="G123" s="53">
        <v>0</v>
      </c>
      <c r="H123" s="59"/>
      <c r="I123" s="53">
        <v>2601.87</v>
      </c>
      <c r="J123" s="55"/>
      <c r="K123" s="53">
        <f t="shared" si="89"/>
        <v>28815.37</v>
      </c>
      <c r="L123" s="56">
        <f t="shared" si="90"/>
        <v>9.9256871459362545E-2</v>
      </c>
      <c r="M123" s="23"/>
      <c r="O123" s="15"/>
      <c r="P123" s="45">
        <f>D138</f>
        <v>44642</v>
      </c>
      <c r="Q123" s="43">
        <f t="shared" ref="Q123" si="96">Q122+U123</f>
        <v>215051.88760000002</v>
      </c>
      <c r="R123" s="45">
        <f t="shared" ref="R123" si="97">P123</f>
        <v>44642</v>
      </c>
      <c r="S123" s="31">
        <f t="shared" si="87"/>
        <v>4188</v>
      </c>
      <c r="T123" s="44"/>
      <c r="U123" s="31">
        <f>I153</f>
        <v>4188</v>
      </c>
    </row>
    <row r="124" spans="4:21 16384:16384" ht="18" customHeight="1" x14ac:dyDescent="0.25">
      <c r="D124" s="51">
        <v>44307</v>
      </c>
      <c r="E124" s="53">
        <f t="shared" si="93"/>
        <v>28815.37</v>
      </c>
      <c r="F124" s="95">
        <f t="shared" si="88"/>
        <v>0</v>
      </c>
      <c r="G124" s="53">
        <v>0</v>
      </c>
      <c r="H124" s="59"/>
      <c r="I124" s="53">
        <v>-892.5</v>
      </c>
      <c r="J124" s="55"/>
      <c r="K124" s="53">
        <f t="shared" si="89"/>
        <v>27922.87</v>
      </c>
      <c r="L124" s="56">
        <f t="shared" si="90"/>
        <v>-3.0973053616871832E-2</v>
      </c>
      <c r="M124" s="23"/>
      <c r="O124" s="15"/>
      <c r="P124" s="45">
        <f>D139</f>
        <v>44673</v>
      </c>
      <c r="Q124" s="43">
        <f t="shared" ref="Q124" si="98">Q123+U124</f>
        <v>215201.08760000003</v>
      </c>
      <c r="R124" s="45">
        <f t="shared" ref="R124" si="99">P124</f>
        <v>44673</v>
      </c>
      <c r="S124" s="31">
        <f t="shared" si="87"/>
        <v>149.19999999999999</v>
      </c>
      <c r="T124" s="44"/>
      <c r="U124" s="31">
        <f>I154</f>
        <v>149.19999999999999</v>
      </c>
    </row>
    <row r="125" spans="4:21 16384:16384" ht="18" customHeight="1" x14ac:dyDescent="0.25">
      <c r="D125" s="51">
        <v>44337</v>
      </c>
      <c r="E125" s="53">
        <f t="shared" si="93"/>
        <v>27922.87</v>
      </c>
      <c r="F125" s="95">
        <f t="shared" si="88"/>
        <v>0</v>
      </c>
      <c r="G125" s="53">
        <f>G124</f>
        <v>0</v>
      </c>
      <c r="H125" s="59"/>
      <c r="I125" s="53">
        <v>6750.5</v>
      </c>
      <c r="J125" s="55"/>
      <c r="K125" s="53">
        <f t="shared" si="89"/>
        <v>34673.369999999995</v>
      </c>
      <c r="L125" s="56">
        <f t="shared" si="90"/>
        <v>0.24175523504568119</v>
      </c>
      <c r="M125" s="23"/>
      <c r="O125" s="15"/>
      <c r="P125" s="45">
        <f>D140</f>
        <v>44703</v>
      </c>
      <c r="Q125" s="43">
        <f t="shared" ref="Q125" si="100">Q124+U125</f>
        <v>217805.58760000003</v>
      </c>
      <c r="R125" s="45">
        <f t="shared" ref="R125" si="101">P125</f>
        <v>44703</v>
      </c>
      <c r="S125" s="31">
        <f t="shared" si="87"/>
        <v>2604.5</v>
      </c>
      <c r="T125" s="44"/>
      <c r="U125" s="31">
        <f>I155</f>
        <v>2604.5</v>
      </c>
    </row>
    <row r="126" spans="4:21 16384:16384" ht="18" customHeight="1" x14ac:dyDescent="0.25">
      <c r="D126" s="51">
        <v>44368</v>
      </c>
      <c r="E126" s="53">
        <f t="shared" si="93"/>
        <v>34673.369999999995</v>
      </c>
      <c r="F126" s="95">
        <f t="shared" si="88"/>
        <v>0</v>
      </c>
      <c r="G126" s="53">
        <f>G125</f>
        <v>0</v>
      </c>
      <c r="H126" s="59"/>
      <c r="I126" s="53">
        <v>1779.1</v>
      </c>
      <c r="J126" s="55"/>
      <c r="K126" s="53">
        <f t="shared" si="89"/>
        <v>36452.469999999994</v>
      </c>
      <c r="L126" s="56">
        <f t="shared" si="90"/>
        <v>5.1310270677468045E-2</v>
      </c>
      <c r="M126" s="23"/>
      <c r="O126" s="15"/>
      <c r="P126" s="45">
        <f>D141</f>
        <v>44734</v>
      </c>
      <c r="Q126" s="43">
        <f t="shared" ref="Q126" si="102">Q125+U126</f>
        <v>216997.33760000003</v>
      </c>
      <c r="R126" s="45">
        <f t="shared" ref="R126" si="103">P126</f>
        <v>44734</v>
      </c>
      <c r="S126" s="31"/>
      <c r="T126" s="44">
        <f>U126</f>
        <v>-808.25</v>
      </c>
      <c r="U126" s="31">
        <f>I156</f>
        <v>-808.25</v>
      </c>
    </row>
    <row r="127" spans="4:21 16384:16384" ht="18" customHeight="1" x14ac:dyDescent="0.3">
      <c r="D127" s="51">
        <v>44398</v>
      </c>
      <c r="E127" s="53">
        <f t="shared" si="93"/>
        <v>36452.469999999994</v>
      </c>
      <c r="F127" s="95">
        <f t="shared" si="88"/>
        <v>0</v>
      </c>
      <c r="G127" s="53">
        <f>G126</f>
        <v>0</v>
      </c>
      <c r="H127" s="59"/>
      <c r="I127" s="53">
        <v>1620.5</v>
      </c>
      <c r="J127" s="55"/>
      <c r="K127" s="53">
        <f t="shared" si="89"/>
        <v>38072.969999999994</v>
      </c>
      <c r="L127" s="56">
        <f t="shared" si="90"/>
        <v>4.4455149404141893E-2</v>
      </c>
      <c r="M127" s="23"/>
      <c r="O127" s="15"/>
      <c r="P127" s="45">
        <f>D142</f>
        <v>44764</v>
      </c>
      <c r="Q127" s="43">
        <f t="shared" ref="Q127" si="104">Q126+U127</f>
        <v>217290.33760000003</v>
      </c>
      <c r="R127" s="45">
        <f t="shared" ref="R127" si="105">P127</f>
        <v>44764</v>
      </c>
      <c r="S127" s="31">
        <f>U127</f>
        <v>293</v>
      </c>
      <c r="U127" s="31">
        <f>I157</f>
        <v>293</v>
      </c>
      <c r="XFD127" s="17"/>
    </row>
    <row r="128" spans="4:21 16384:16384" ht="18" customHeight="1" x14ac:dyDescent="0.25">
      <c r="D128" s="51">
        <v>44429</v>
      </c>
      <c r="E128" s="53">
        <f t="shared" si="93"/>
        <v>38072.969999999994</v>
      </c>
      <c r="F128" s="95">
        <f t="shared" si="88"/>
        <v>0</v>
      </c>
      <c r="G128" s="53">
        <f>G127</f>
        <v>0</v>
      </c>
      <c r="H128" s="59"/>
      <c r="I128" s="53">
        <v>-1467.25</v>
      </c>
      <c r="J128" s="55"/>
      <c r="K128" s="53">
        <f t="shared" si="89"/>
        <v>36605.719999999994</v>
      </c>
      <c r="L128" s="56">
        <f t="shared" si="90"/>
        <v>-3.8537839312246989E-2</v>
      </c>
      <c r="M128" s="23"/>
      <c r="O128" s="15"/>
      <c r="P128" s="45">
        <f>D143</f>
        <v>44795</v>
      </c>
      <c r="Q128" s="43">
        <f t="shared" ref="Q128" si="106">Q127+U128</f>
        <v>215547.08760000003</v>
      </c>
      <c r="R128" s="45">
        <f t="shared" ref="R128" si="107">P128</f>
        <v>44795</v>
      </c>
      <c r="S128" s="31"/>
      <c r="T128" s="31">
        <f>U128</f>
        <v>-1743.25</v>
      </c>
      <c r="U128" s="31">
        <f>I158</f>
        <v>-1743.25</v>
      </c>
    </row>
    <row r="129" spans="4:21" ht="18" customHeight="1" x14ac:dyDescent="0.25">
      <c r="D129" s="51">
        <v>44460</v>
      </c>
      <c r="E129" s="53">
        <f t="shared" si="93"/>
        <v>36605.719999999994</v>
      </c>
      <c r="F129" s="95">
        <f t="shared" si="88"/>
        <v>0</v>
      </c>
      <c r="G129" s="53">
        <f t="shared" si="88"/>
        <v>0</v>
      </c>
      <c r="H129" s="59"/>
      <c r="I129" s="53">
        <v>697.2</v>
      </c>
      <c r="J129" s="55"/>
      <c r="K129" s="53">
        <f t="shared" si="89"/>
        <v>37302.919999999991</v>
      </c>
      <c r="L129" s="56">
        <f t="shared" si="90"/>
        <v>1.9046203708054373E-2</v>
      </c>
      <c r="M129" s="23"/>
      <c r="O129" s="15"/>
      <c r="P129" s="45"/>
      <c r="Q129" s="43"/>
      <c r="R129" s="45"/>
      <c r="T129" s="31"/>
      <c r="U129" s="31"/>
    </row>
    <row r="130" spans="4:21" ht="18" customHeight="1" x14ac:dyDescent="0.25">
      <c r="D130" s="51">
        <v>44490</v>
      </c>
      <c r="E130" s="53">
        <f>K129</f>
        <v>37302.919999999991</v>
      </c>
      <c r="F130" s="95">
        <f t="shared" ref="F130:G132" si="108">F126</f>
        <v>0</v>
      </c>
      <c r="G130" s="53">
        <f t="shared" si="108"/>
        <v>0</v>
      </c>
      <c r="H130" s="59"/>
      <c r="I130" s="53">
        <v>787.5</v>
      </c>
      <c r="J130" s="55"/>
      <c r="K130" s="53">
        <f t="shared" si="89"/>
        <v>38090.419999999991</v>
      </c>
      <c r="L130" s="56">
        <f t="shared" si="90"/>
        <v>2.1110947882900324E-2</v>
      </c>
      <c r="M130" s="23"/>
      <c r="O130" s="15"/>
    </row>
    <row r="131" spans="4:21" ht="18" customHeight="1" x14ac:dyDescent="0.25">
      <c r="D131" s="51">
        <v>44521</v>
      </c>
      <c r="E131" s="53">
        <f>K130</f>
        <v>38090.419999999991</v>
      </c>
      <c r="F131" s="95">
        <f t="shared" si="108"/>
        <v>0</v>
      </c>
      <c r="G131" s="53">
        <f t="shared" si="108"/>
        <v>0</v>
      </c>
      <c r="H131" s="59"/>
      <c r="I131" s="53">
        <v>1133.1500000000001</v>
      </c>
      <c r="J131" s="55"/>
      <c r="K131" s="53">
        <f t="shared" ref="K131:K132" si="109">E131+I131</f>
        <v>39223.569999999992</v>
      </c>
      <c r="L131" s="56">
        <f t="shared" ref="L131:L132" si="110">I131/E131</f>
        <v>2.9748949998451065E-2</v>
      </c>
      <c r="M131" s="23"/>
      <c r="O131" s="15"/>
    </row>
    <row r="132" spans="4:21" ht="18" customHeight="1" x14ac:dyDescent="0.25">
      <c r="D132" s="51">
        <v>44916</v>
      </c>
      <c r="E132" s="53">
        <f>K131</f>
        <v>39223.569999999992</v>
      </c>
      <c r="F132" s="95">
        <f t="shared" si="108"/>
        <v>0</v>
      </c>
      <c r="G132" s="53">
        <f t="shared" si="108"/>
        <v>0</v>
      </c>
      <c r="H132" s="59"/>
      <c r="I132" s="53">
        <v>251.2</v>
      </c>
      <c r="J132" s="55"/>
      <c r="K132" s="53">
        <f t="shared" si="109"/>
        <v>39474.76999999999</v>
      </c>
      <c r="L132" s="56">
        <f t="shared" si="110"/>
        <v>6.4043125090347472E-3</v>
      </c>
      <c r="M132" s="23"/>
      <c r="O132" s="15"/>
    </row>
    <row r="133" spans="4:21" ht="18" customHeight="1" x14ac:dyDescent="0.25">
      <c r="H133" s="58" t="s">
        <v>11</v>
      </c>
      <c r="I133" s="46" t="s">
        <v>11</v>
      </c>
      <c r="J133" s="55" t="str">
        <f t="shared" ref="J133" si="111">I133</f>
        <v>-----------</v>
      </c>
      <c r="L133" s="67" t="s">
        <v>12</v>
      </c>
      <c r="M133" s="23"/>
      <c r="O133" s="15"/>
    </row>
    <row r="134" spans="4:21" ht="18" customHeight="1" x14ac:dyDescent="0.25">
      <c r="H134" s="59">
        <v>53902.559999999998</v>
      </c>
      <c r="I134" s="52">
        <f>SUM(I121:I133)</f>
        <v>14474.77</v>
      </c>
      <c r="J134" s="55"/>
      <c r="K134" s="60"/>
      <c r="L134" s="61">
        <f>I134/E121</f>
        <v>0.57899080000000003</v>
      </c>
      <c r="M134" s="23">
        <f>I134</f>
        <v>14474.77</v>
      </c>
      <c r="N134" s="1">
        <v>12</v>
      </c>
      <c r="O134" s="15"/>
    </row>
    <row r="135" spans="4:21" ht="18" customHeight="1" x14ac:dyDescent="0.25">
      <c r="H135" s="59"/>
      <c r="I135" s="52"/>
      <c r="J135" s="55"/>
      <c r="K135" s="60"/>
      <c r="L135" s="61"/>
      <c r="M135" s="23"/>
      <c r="O135" s="15"/>
    </row>
    <row r="136" spans="4:21" ht="18" customHeight="1" x14ac:dyDescent="0.25">
      <c r="D136" s="70">
        <v>44582</v>
      </c>
      <c r="E136" s="53">
        <f>E121</f>
        <v>25000</v>
      </c>
      <c r="F136" s="95">
        <f t="shared" ref="F136:F146" si="112">F132</f>
        <v>0</v>
      </c>
      <c r="G136" s="53">
        <f>E121-K132</f>
        <v>-14474.76999999999</v>
      </c>
      <c r="H136" s="59"/>
      <c r="I136" s="53">
        <v>-786</v>
      </c>
      <c r="J136" s="55"/>
      <c r="K136" s="53">
        <f t="shared" ref="K136:K141" si="113">E136+I136</f>
        <v>24214</v>
      </c>
      <c r="L136" s="56">
        <f t="shared" ref="L136:L141" si="114">I136/E136</f>
        <v>-3.1440000000000003E-2</v>
      </c>
      <c r="M136" s="23"/>
      <c r="O136" s="15"/>
    </row>
    <row r="137" spans="4:21" ht="18" customHeight="1" x14ac:dyDescent="0.25">
      <c r="D137" s="70">
        <v>44614</v>
      </c>
      <c r="E137" s="53">
        <f t="shared" ref="E137:E142" si="115">K136</f>
        <v>24214</v>
      </c>
      <c r="F137" s="95">
        <f t="shared" si="112"/>
        <v>0</v>
      </c>
      <c r="G137" s="53">
        <f>G132</f>
        <v>0</v>
      </c>
      <c r="H137" s="59"/>
      <c r="I137" s="53">
        <v>150.55000000000001</v>
      </c>
      <c r="J137" s="55"/>
      <c r="K137" s="53">
        <f t="shared" si="113"/>
        <v>24364.55</v>
      </c>
      <c r="L137" s="56">
        <f t="shared" si="114"/>
        <v>6.2174774923597926E-3</v>
      </c>
      <c r="M137" s="23"/>
      <c r="O137" s="15"/>
    </row>
    <row r="138" spans="4:21" ht="18" customHeight="1" x14ac:dyDescent="0.25">
      <c r="D138" s="70">
        <v>44642</v>
      </c>
      <c r="E138" s="53">
        <f t="shared" si="115"/>
        <v>24364.55</v>
      </c>
      <c r="F138" s="95">
        <f t="shared" si="112"/>
        <v>0</v>
      </c>
      <c r="G138" s="53">
        <f t="shared" ref="G138:G143" si="116">G137</f>
        <v>0</v>
      </c>
      <c r="H138" s="59"/>
      <c r="I138" s="53">
        <v>3805.5</v>
      </c>
      <c r="J138" s="55"/>
      <c r="K138" s="53">
        <f t="shared" si="113"/>
        <v>28170.05</v>
      </c>
      <c r="L138" s="56">
        <f t="shared" si="114"/>
        <v>0.15619003839594822</v>
      </c>
      <c r="M138" s="23"/>
      <c r="O138" s="15"/>
    </row>
    <row r="139" spans="4:21" ht="18" customHeight="1" x14ac:dyDescent="0.25">
      <c r="D139" s="70">
        <v>44673</v>
      </c>
      <c r="E139" s="53">
        <f t="shared" si="115"/>
        <v>28170.05</v>
      </c>
      <c r="F139" s="95">
        <f t="shared" si="112"/>
        <v>0</v>
      </c>
      <c r="G139" s="53">
        <f t="shared" si="116"/>
        <v>0</v>
      </c>
      <c r="H139" s="59"/>
      <c r="I139" s="53">
        <f>1694.25*1.5</f>
        <v>2541.375</v>
      </c>
      <c r="J139" s="55"/>
      <c r="K139" s="53">
        <f t="shared" si="113"/>
        <v>30711.424999999999</v>
      </c>
      <c r="L139" s="56">
        <f t="shared" si="114"/>
        <v>9.0215494825177808E-2</v>
      </c>
      <c r="M139" s="23"/>
      <c r="O139" s="15"/>
    </row>
    <row r="140" spans="4:21" ht="18" customHeight="1" x14ac:dyDescent="0.25">
      <c r="D140" s="51">
        <v>44703</v>
      </c>
      <c r="E140" s="53">
        <f t="shared" si="115"/>
        <v>30711.424999999999</v>
      </c>
      <c r="F140" s="95">
        <f t="shared" si="112"/>
        <v>0</v>
      </c>
      <c r="G140" s="53">
        <f t="shared" si="116"/>
        <v>0</v>
      </c>
      <c r="H140" s="59"/>
      <c r="I140" s="53">
        <v>4710.5</v>
      </c>
      <c r="J140" s="55"/>
      <c r="K140" s="53">
        <f t="shared" si="113"/>
        <v>35421.925000000003</v>
      </c>
      <c r="L140" s="56">
        <f t="shared" si="114"/>
        <v>0.15337940196522956</v>
      </c>
      <c r="M140" s="23"/>
      <c r="O140" s="15"/>
    </row>
    <row r="141" spans="4:21" ht="18" customHeight="1" x14ac:dyDescent="0.25">
      <c r="D141" s="51">
        <v>44734</v>
      </c>
      <c r="E141" s="53">
        <f t="shared" si="115"/>
        <v>35421.925000000003</v>
      </c>
      <c r="F141" s="95">
        <f t="shared" si="112"/>
        <v>0</v>
      </c>
      <c r="G141" s="53">
        <f t="shared" si="116"/>
        <v>0</v>
      </c>
      <c r="H141" s="59"/>
      <c r="I141" s="53">
        <v>7290.2</v>
      </c>
      <c r="J141" s="55"/>
      <c r="K141" s="53">
        <f t="shared" si="113"/>
        <v>42712.125</v>
      </c>
      <c r="L141" s="56">
        <f t="shared" si="114"/>
        <v>0.2058103843876356</v>
      </c>
      <c r="M141" s="23"/>
      <c r="O141" s="15"/>
    </row>
    <row r="142" spans="4:21" ht="18" customHeight="1" x14ac:dyDescent="0.25">
      <c r="D142" s="51">
        <v>44764</v>
      </c>
      <c r="E142" s="53">
        <f t="shared" si="115"/>
        <v>42712.125</v>
      </c>
      <c r="F142" s="95">
        <f t="shared" si="112"/>
        <v>0</v>
      </c>
      <c r="G142" s="53">
        <f t="shared" si="116"/>
        <v>0</v>
      </c>
      <c r="H142" s="59"/>
      <c r="I142" s="53">
        <v>3528.5</v>
      </c>
      <c r="J142" s="55"/>
      <c r="K142" s="53">
        <f t="shared" ref="K142" si="117">E142+I142</f>
        <v>46240.625</v>
      </c>
      <c r="L142" s="56">
        <f t="shared" ref="L142" si="118">I142/E142</f>
        <v>8.2611202322525515E-2</v>
      </c>
      <c r="M142" s="23"/>
      <c r="O142" s="15"/>
    </row>
    <row r="143" spans="4:21" ht="18" customHeight="1" x14ac:dyDescent="0.25">
      <c r="D143" s="51">
        <v>44795</v>
      </c>
      <c r="E143" s="53">
        <f t="shared" ref="E143" si="119">K142</f>
        <v>46240.625</v>
      </c>
      <c r="F143" s="95">
        <f t="shared" si="112"/>
        <v>0</v>
      </c>
      <c r="G143" s="53">
        <f t="shared" si="116"/>
        <v>0</v>
      </c>
      <c r="H143" s="59"/>
      <c r="I143" s="53">
        <v>969.7</v>
      </c>
      <c r="J143" s="55"/>
      <c r="K143" s="53">
        <f t="shared" ref="K143" si="120">E143+I143</f>
        <v>47210.324999999997</v>
      </c>
      <c r="L143" s="56">
        <f t="shared" ref="L143" si="121">I143/E143</f>
        <v>2.0970737311617221E-2</v>
      </c>
      <c r="M143" s="23"/>
      <c r="O143" s="15"/>
    </row>
    <row r="144" spans="4:21" ht="18" customHeight="1" x14ac:dyDescent="0.25">
      <c r="D144" s="51">
        <v>44826</v>
      </c>
      <c r="E144" s="53">
        <f t="shared" ref="E144:E145" si="122">K143</f>
        <v>47210.324999999997</v>
      </c>
      <c r="F144" s="95">
        <f t="shared" si="112"/>
        <v>0</v>
      </c>
      <c r="G144" s="53">
        <f t="shared" ref="G144:G147" si="123">G143</f>
        <v>0</v>
      </c>
      <c r="H144" s="59"/>
      <c r="I144" s="53">
        <v>720.5</v>
      </c>
      <c r="J144" s="55"/>
      <c r="K144" s="53">
        <f t="shared" ref="K144:K145" si="124">E144+I144</f>
        <v>47930.824999999997</v>
      </c>
      <c r="L144" s="56">
        <f t="shared" ref="L144:L145" si="125">I144/E144</f>
        <v>1.526149205708709E-2</v>
      </c>
      <c r="M144" s="23"/>
      <c r="O144" s="15"/>
    </row>
    <row r="145" spans="4:15" ht="18" customHeight="1" x14ac:dyDescent="0.25">
      <c r="D145" s="51">
        <v>44856</v>
      </c>
      <c r="E145" s="53">
        <f t="shared" si="122"/>
        <v>47930.824999999997</v>
      </c>
      <c r="F145" s="95">
        <f t="shared" si="112"/>
        <v>0</v>
      </c>
      <c r="G145" s="53">
        <f t="shared" si="123"/>
        <v>0</v>
      </c>
      <c r="H145" s="59"/>
      <c r="I145" s="53">
        <v>-6810.61</v>
      </c>
      <c r="J145" s="55"/>
      <c r="K145" s="53">
        <f t="shared" si="124"/>
        <v>41120.214999999997</v>
      </c>
      <c r="L145" s="56">
        <f t="shared" si="125"/>
        <v>-0.14209248432506638</v>
      </c>
      <c r="M145" s="23"/>
      <c r="O145" s="15"/>
    </row>
    <row r="146" spans="4:15" ht="18" customHeight="1" x14ac:dyDescent="0.25">
      <c r="D146" s="51">
        <v>44887</v>
      </c>
      <c r="E146" s="53">
        <f t="shared" ref="E146" si="126">K145</f>
        <v>41120.214999999997</v>
      </c>
      <c r="F146" s="95">
        <f t="shared" si="112"/>
        <v>0</v>
      </c>
      <c r="G146" s="53">
        <f t="shared" si="123"/>
        <v>0</v>
      </c>
      <c r="H146" s="59"/>
      <c r="I146" s="53">
        <v>4179.6499999999996</v>
      </c>
      <c r="J146" s="55"/>
      <c r="K146" s="53">
        <f t="shared" ref="K146" si="127">E146+I146</f>
        <v>45299.864999999998</v>
      </c>
      <c r="L146" s="56">
        <f t="shared" ref="L146" si="128">I146/E146</f>
        <v>0.10164465336574724</v>
      </c>
      <c r="M146" s="23"/>
      <c r="O146" s="15"/>
    </row>
    <row r="147" spans="4:15" ht="18" customHeight="1" x14ac:dyDescent="0.25">
      <c r="D147" s="51">
        <v>44917</v>
      </c>
      <c r="E147" s="53">
        <f t="shared" ref="E147" si="129">K146</f>
        <v>45299.864999999998</v>
      </c>
      <c r="F147" s="95">
        <f>F144</f>
        <v>0</v>
      </c>
      <c r="G147" s="53">
        <f t="shared" si="123"/>
        <v>0</v>
      </c>
      <c r="H147" s="59"/>
      <c r="I147" s="53">
        <v>6846.25</v>
      </c>
      <c r="J147" s="55"/>
      <c r="K147" s="53">
        <f t="shared" ref="K147" si="130">E147+I147</f>
        <v>52146.114999999998</v>
      </c>
      <c r="L147" s="56">
        <f t="shared" ref="L147" si="131">I147/E147</f>
        <v>0.15113179697113888</v>
      </c>
      <c r="M147" s="23"/>
      <c r="O147" s="15"/>
    </row>
    <row r="148" spans="4:15" x14ac:dyDescent="0.25">
      <c r="H148" s="58" t="s">
        <v>11</v>
      </c>
      <c r="I148" s="46" t="s">
        <v>11</v>
      </c>
      <c r="J148" s="55" t="str">
        <f t="shared" ref="J148" si="132">I148</f>
        <v>-----------</v>
      </c>
      <c r="L148" s="67" t="s">
        <v>12</v>
      </c>
      <c r="M148" s="23"/>
      <c r="O148" s="15"/>
    </row>
    <row r="149" spans="4:15" x14ac:dyDescent="0.25">
      <c r="H149" s="59">
        <v>53902.559999999998</v>
      </c>
      <c r="I149" s="52">
        <f>SUM(I136:I148)</f>
        <v>27146.114999999998</v>
      </c>
      <c r="J149" s="55"/>
      <c r="K149" s="60"/>
      <c r="L149" s="61">
        <f>I149/E136</f>
        <v>1.0858445999999999</v>
      </c>
      <c r="M149" s="23">
        <f>I149</f>
        <v>27146.114999999998</v>
      </c>
      <c r="N149" s="1">
        <v>12</v>
      </c>
      <c r="O149" s="15"/>
    </row>
    <row r="150" spans="4:15" x14ac:dyDescent="0.25">
      <c r="H150" s="59"/>
      <c r="I150" s="52"/>
      <c r="J150" s="55"/>
      <c r="K150" s="60"/>
      <c r="L150" s="61"/>
      <c r="M150" s="23"/>
      <c r="O150" s="15"/>
    </row>
    <row r="151" spans="4:15" x14ac:dyDescent="0.25">
      <c r="D151" s="51">
        <v>44949</v>
      </c>
      <c r="E151" s="53">
        <f>E136</f>
        <v>25000</v>
      </c>
      <c r="F151" s="95">
        <f>F145</f>
        <v>0</v>
      </c>
      <c r="G151" s="53">
        <f>-I149</f>
        <v>-27146.114999999998</v>
      </c>
      <c r="H151" s="59"/>
      <c r="I151" s="53">
        <v>11637.12</v>
      </c>
      <c r="J151" s="55"/>
      <c r="K151" s="53">
        <f t="shared" ref="K151" si="133">E151+I151</f>
        <v>36637.120000000003</v>
      </c>
      <c r="L151" s="56">
        <f t="shared" ref="L151" si="134">I151/E151</f>
        <v>0.46548480000000003</v>
      </c>
      <c r="M151" s="23"/>
      <c r="O151" s="15"/>
    </row>
    <row r="152" spans="4:15" x14ac:dyDescent="0.25">
      <c r="D152" s="70">
        <v>44980</v>
      </c>
      <c r="E152" s="53">
        <f t="shared" ref="E152" si="135">K151</f>
        <v>36637.120000000003</v>
      </c>
      <c r="F152" s="95">
        <f t="shared" ref="F152:F158" si="136">F148</f>
        <v>0</v>
      </c>
      <c r="G152" s="53">
        <f>G147</f>
        <v>0</v>
      </c>
      <c r="H152" s="59"/>
      <c r="I152" s="53">
        <f>1738.5*1.75</f>
        <v>3042.375</v>
      </c>
      <c r="J152" s="55"/>
      <c r="K152" s="53">
        <f t="shared" ref="K152" si="137">E152+I152</f>
        <v>39679.495000000003</v>
      </c>
      <c r="L152" s="56">
        <f t="shared" ref="L152" si="138">I152/E152</f>
        <v>8.3040779406241536E-2</v>
      </c>
      <c r="M152" s="23"/>
      <c r="O152" s="15"/>
    </row>
    <row r="153" spans="4:15" x14ac:dyDescent="0.25">
      <c r="D153" s="70">
        <v>45008</v>
      </c>
      <c r="E153" s="53">
        <f t="shared" ref="E153" si="139">K152</f>
        <v>39679.495000000003</v>
      </c>
      <c r="F153" s="95">
        <f t="shared" si="136"/>
        <v>0</v>
      </c>
      <c r="G153" s="53">
        <f>G148</f>
        <v>0</v>
      </c>
      <c r="H153" s="59"/>
      <c r="I153" s="53">
        <v>4188</v>
      </c>
      <c r="J153" s="55"/>
      <c r="K153" s="53">
        <f t="shared" ref="K153" si="140">E153+I153</f>
        <v>43867.495000000003</v>
      </c>
      <c r="L153" s="56">
        <f t="shared" ref="L153" si="141">I153/E153</f>
        <v>0.10554569809923235</v>
      </c>
      <c r="M153" s="23"/>
      <c r="O153" s="15"/>
    </row>
    <row r="154" spans="4:15" x14ac:dyDescent="0.25">
      <c r="D154" s="70">
        <v>45039</v>
      </c>
      <c r="E154" s="53">
        <f t="shared" ref="E154" si="142">K153</f>
        <v>43867.495000000003</v>
      </c>
      <c r="F154" s="95">
        <f t="shared" si="136"/>
        <v>0</v>
      </c>
      <c r="G154" s="53">
        <f t="shared" ref="G154:G158" si="143">G153</f>
        <v>0</v>
      </c>
      <c r="H154" s="59"/>
      <c r="I154" s="53">
        <v>149.19999999999999</v>
      </c>
      <c r="J154" s="55"/>
      <c r="K154" s="53">
        <f t="shared" ref="K154" si="144">E154+I154</f>
        <v>44016.695</v>
      </c>
      <c r="L154" s="56">
        <f t="shared" ref="L154" si="145">I154/E154</f>
        <v>3.401151581598174E-3</v>
      </c>
      <c r="M154" s="23"/>
      <c r="O154" s="15"/>
    </row>
    <row r="155" spans="4:15" x14ac:dyDescent="0.25">
      <c r="D155" s="70">
        <v>45069</v>
      </c>
      <c r="E155" s="53">
        <f t="shared" ref="E155" si="146">K154</f>
        <v>44016.695</v>
      </c>
      <c r="F155" s="95">
        <f t="shared" si="136"/>
        <v>0</v>
      </c>
      <c r="G155" s="53">
        <f t="shared" si="143"/>
        <v>0</v>
      </c>
      <c r="H155" s="59"/>
      <c r="I155" s="53">
        <v>2604.5</v>
      </c>
      <c r="J155" s="55"/>
      <c r="K155" s="53">
        <f t="shared" ref="K155" si="147">E155+I155</f>
        <v>46621.195</v>
      </c>
      <c r="L155" s="56">
        <f t="shared" ref="L155" si="148">I155/E155</f>
        <v>5.9170730560302177E-2</v>
      </c>
      <c r="M155" s="23"/>
      <c r="O155" s="15"/>
    </row>
    <row r="156" spans="4:15" x14ac:dyDescent="0.25">
      <c r="D156" s="70">
        <v>45100</v>
      </c>
      <c r="E156" s="53">
        <f t="shared" ref="E156" si="149">K155</f>
        <v>46621.195</v>
      </c>
      <c r="F156" s="95">
        <f t="shared" si="136"/>
        <v>0</v>
      </c>
      <c r="G156" s="53">
        <f t="shared" si="143"/>
        <v>0</v>
      </c>
      <c r="H156" s="59"/>
      <c r="I156" s="53">
        <v>-808.25</v>
      </c>
      <c r="J156" s="55"/>
      <c r="K156" s="53">
        <f t="shared" ref="K156" si="150">E156+I156</f>
        <v>45812.945</v>
      </c>
      <c r="L156" s="56">
        <f t="shared" ref="L156" si="151">I156/E156</f>
        <v>-1.7336535453456307E-2</v>
      </c>
      <c r="M156" s="23"/>
      <c r="O156" s="15"/>
    </row>
    <row r="157" spans="4:15" x14ac:dyDescent="0.25">
      <c r="D157" s="70">
        <v>45130</v>
      </c>
      <c r="E157" s="53">
        <f t="shared" ref="E157" si="152">K156</f>
        <v>45812.945</v>
      </c>
      <c r="F157" s="95">
        <f t="shared" si="136"/>
        <v>0</v>
      </c>
      <c r="G157" s="53">
        <f t="shared" si="143"/>
        <v>0</v>
      </c>
      <c r="H157" s="59"/>
      <c r="I157" s="53">
        <v>293</v>
      </c>
      <c r="J157" s="55"/>
      <c r="K157" s="53">
        <f t="shared" ref="K157" si="153">E157+I157</f>
        <v>46105.945</v>
      </c>
      <c r="L157" s="56">
        <f t="shared" ref="L157" si="154">I157/E157</f>
        <v>6.3955722558329308E-3</v>
      </c>
      <c r="M157" s="23"/>
      <c r="O157" s="15"/>
    </row>
    <row r="158" spans="4:15" x14ac:dyDescent="0.25">
      <c r="D158" s="70">
        <v>45161</v>
      </c>
      <c r="E158" s="53">
        <f t="shared" ref="E158" si="155">K157</f>
        <v>46105.945</v>
      </c>
      <c r="F158" s="95">
        <f t="shared" si="136"/>
        <v>0</v>
      </c>
      <c r="G158" s="53">
        <f t="shared" si="143"/>
        <v>0</v>
      </c>
      <c r="H158" s="59"/>
      <c r="I158" s="53">
        <v>-1743.25</v>
      </c>
      <c r="J158" s="55"/>
      <c r="K158" s="53">
        <f t="shared" ref="K158" si="156">E158+I158</f>
        <v>44362.695</v>
      </c>
      <c r="L158" s="56">
        <f t="shared" ref="L158" si="157">I158/E158</f>
        <v>-3.7809657735027445E-2</v>
      </c>
      <c r="M158" s="23"/>
      <c r="O158" s="15"/>
    </row>
    <row r="159" spans="4:15" x14ac:dyDescent="0.25">
      <c r="H159" s="59"/>
      <c r="I159" s="46" t="s">
        <v>11</v>
      </c>
      <c r="J159" s="55"/>
      <c r="K159" s="60"/>
      <c r="L159" s="61"/>
      <c r="M159" s="23"/>
      <c r="O159" s="15"/>
    </row>
    <row r="160" spans="4:15" x14ac:dyDescent="0.25">
      <c r="H160" s="59"/>
      <c r="I160" s="52">
        <f>SUM(I151:I159)</f>
        <v>19362.695000000003</v>
      </c>
      <c r="J160" s="55"/>
      <c r="K160" s="60"/>
      <c r="L160" s="61">
        <f>I160/E151</f>
        <v>0.77450780000000008</v>
      </c>
      <c r="M160" s="23">
        <f>I160</f>
        <v>19362.695000000003</v>
      </c>
      <c r="N160" s="1">
        <v>8</v>
      </c>
      <c r="O160" s="15"/>
    </row>
    <row r="161" spans="2:21" x14ac:dyDescent="0.25">
      <c r="H161" s="59"/>
      <c r="I161" s="52"/>
      <c r="J161" s="55"/>
      <c r="K161" s="60"/>
      <c r="L161" s="61"/>
      <c r="M161" s="23"/>
      <c r="O161" s="15"/>
    </row>
    <row r="162" spans="2:21" x14ac:dyDescent="0.25">
      <c r="H162" s="59"/>
      <c r="I162" s="52"/>
      <c r="J162" s="55"/>
      <c r="K162" s="60"/>
      <c r="L162" s="61"/>
      <c r="M162" s="23"/>
      <c r="O162" s="15"/>
    </row>
    <row r="163" spans="2:21" x14ac:dyDescent="0.25">
      <c r="H163" s="59"/>
      <c r="I163" s="52"/>
      <c r="J163" s="55"/>
      <c r="K163" s="60"/>
      <c r="L163" s="61"/>
      <c r="M163" s="23"/>
      <c r="O163" s="15"/>
    </row>
    <row r="164" spans="2:21" x14ac:dyDescent="0.25">
      <c r="H164" s="59"/>
      <c r="I164" s="52"/>
      <c r="J164" s="55"/>
      <c r="K164" s="60"/>
      <c r="L164" s="61"/>
      <c r="M164" s="23"/>
      <c r="O164" s="15"/>
    </row>
    <row r="165" spans="2:21" x14ac:dyDescent="0.25">
      <c r="H165" s="59"/>
      <c r="I165" s="52"/>
      <c r="J165" s="55"/>
      <c r="K165" s="60"/>
      <c r="L165" s="61"/>
      <c r="M165" s="23"/>
      <c r="O165" s="15"/>
    </row>
    <row r="166" spans="2:21" x14ac:dyDescent="0.25">
      <c r="H166" s="59"/>
      <c r="I166" s="52"/>
      <c r="J166" s="55"/>
      <c r="K166" s="60"/>
      <c r="L166" s="61"/>
      <c r="M166" s="23"/>
      <c r="O166" s="15"/>
    </row>
    <row r="167" spans="2:21" x14ac:dyDescent="0.25">
      <c r="H167" s="59"/>
      <c r="I167" s="52" t="s">
        <v>96</v>
      </c>
      <c r="J167" s="55"/>
      <c r="K167" s="60"/>
      <c r="L167" s="61"/>
      <c r="M167" s="23"/>
      <c r="O167" s="15"/>
    </row>
    <row r="168" spans="2:21" x14ac:dyDescent="0.25">
      <c r="H168" s="55"/>
      <c r="I168" s="52">
        <f>(SUM(I144:I147))+I160</f>
        <v>24298.485000000004</v>
      </c>
      <c r="J168" s="63"/>
      <c r="K168" s="52"/>
      <c r="L168" s="61"/>
      <c r="M168" s="2"/>
      <c r="O168" s="15"/>
    </row>
    <row r="169" spans="2:21" x14ac:dyDescent="0.25">
      <c r="D169" s="62"/>
      <c r="E169" s="100"/>
      <c r="H169" s="55"/>
      <c r="I169" s="52"/>
      <c r="J169" s="63"/>
      <c r="K169" s="60"/>
      <c r="L169" s="61"/>
      <c r="M169" s="2"/>
      <c r="O169" s="15"/>
    </row>
    <row r="170" spans="2:21" x14ac:dyDescent="0.25">
      <c r="B170"/>
      <c r="E170" s="107"/>
      <c r="H170" s="55"/>
      <c r="I170" s="71"/>
      <c r="J170" s="63"/>
      <c r="K170" s="60"/>
      <c r="L170" s="61"/>
      <c r="M170" s="2"/>
      <c r="O170" s="15"/>
    </row>
    <row r="171" spans="2:21" x14ac:dyDescent="0.25">
      <c r="B171" t="s">
        <v>97</v>
      </c>
      <c r="D171" s="46" t="s">
        <v>17</v>
      </c>
      <c r="E171" s="101"/>
      <c r="F171" s="108" t="s">
        <v>106</v>
      </c>
      <c r="G171" s="109" t="s">
        <v>105</v>
      </c>
      <c r="H171" s="55"/>
      <c r="I171" s="79">
        <v>435</v>
      </c>
      <c r="J171" s="63"/>
      <c r="K171" s="92"/>
      <c r="L171" s="61"/>
      <c r="M171" s="2"/>
      <c r="O171" s="15"/>
      <c r="Q171"/>
      <c r="S171"/>
      <c r="T171"/>
      <c r="U171"/>
    </row>
    <row r="172" spans="2:21" x14ac:dyDescent="0.25">
      <c r="B172" t="s">
        <v>98</v>
      </c>
      <c r="E172" s="102">
        <v>7392.3</v>
      </c>
      <c r="F172" s="108">
        <v>2500</v>
      </c>
      <c r="G172" s="109" t="s">
        <v>103</v>
      </c>
      <c r="H172" s="55"/>
      <c r="I172" s="79">
        <v>-1548</v>
      </c>
      <c r="J172" s="63"/>
      <c r="K172" s="92"/>
      <c r="L172" s="61"/>
      <c r="M172" s="2" t="s">
        <v>82</v>
      </c>
      <c r="N172" s="1" t="s">
        <v>14</v>
      </c>
      <c r="O172" s="15"/>
      <c r="Q172"/>
      <c r="S172"/>
      <c r="T172"/>
      <c r="U172"/>
    </row>
    <row r="173" spans="2:21" x14ac:dyDescent="0.25">
      <c r="B173"/>
      <c r="E173" s="111">
        <f>M173</f>
        <v>215062.99129999997</v>
      </c>
      <c r="F173" s="108"/>
      <c r="G173" s="112" t="s">
        <v>104</v>
      </c>
      <c r="H173" s="46"/>
      <c r="I173" s="79">
        <v>-630</v>
      </c>
      <c r="J173" s="55"/>
      <c r="K173" s="92"/>
      <c r="L173" s="63"/>
      <c r="M173" s="33">
        <f>SUM(M4:M172)</f>
        <v>215062.99129999997</v>
      </c>
      <c r="N173" s="19">
        <f>SUM(N2:N172)</f>
        <v>124</v>
      </c>
      <c r="O173" s="15"/>
      <c r="Q173"/>
      <c r="S173"/>
      <c r="T173"/>
      <c r="U173"/>
    </row>
    <row r="174" spans="2:21" x14ac:dyDescent="0.25">
      <c r="B174"/>
      <c r="D174" s="61" t="s">
        <v>14</v>
      </c>
      <c r="E174" s="103">
        <f>N173</f>
        <v>124</v>
      </c>
      <c r="F174" s="108"/>
      <c r="G174" s="109"/>
      <c r="H174" s="46"/>
      <c r="I174" s="79"/>
      <c r="J174" s="55"/>
      <c r="K174" s="92"/>
      <c r="L174" s="63"/>
      <c r="M174" s="32"/>
      <c r="O174" s="15"/>
      <c r="Q174"/>
      <c r="S174"/>
      <c r="T174"/>
      <c r="U174"/>
    </row>
    <row r="175" spans="2:21" x14ac:dyDescent="0.25">
      <c r="B175"/>
      <c r="D175" s="61" t="s">
        <v>61</v>
      </c>
      <c r="E175" s="104">
        <f>E173/E174</f>
        <v>1734.3789620967739</v>
      </c>
      <c r="F175" s="91"/>
      <c r="G175" s="53" t="s">
        <v>3</v>
      </c>
      <c r="H175" s="46"/>
      <c r="I175" s="71">
        <f>SUM(I171:I173)</f>
        <v>-1743</v>
      </c>
      <c r="J175" s="55"/>
      <c r="K175" s="52"/>
      <c r="L175" s="63"/>
      <c r="M175" s="32"/>
      <c r="O175" s="15"/>
      <c r="Q175"/>
      <c r="S175"/>
      <c r="T175"/>
      <c r="U175"/>
    </row>
    <row r="176" spans="2:21" x14ac:dyDescent="0.25">
      <c r="B176"/>
      <c r="D176" s="61" t="s">
        <v>16</v>
      </c>
      <c r="E176" s="110">
        <f>E175*12</f>
        <v>20812.547545161287</v>
      </c>
      <c r="F176" s="91"/>
      <c r="G176" s="52"/>
      <c r="H176" s="53"/>
      <c r="I176" s="89"/>
      <c r="J176" s="63"/>
      <c r="K176" s="66"/>
      <c r="L176" s="63"/>
      <c r="M176" s="32"/>
      <c r="O176" s="15"/>
      <c r="Q176"/>
      <c r="S176"/>
      <c r="T176"/>
      <c r="U176"/>
    </row>
    <row r="177" spans="2:18" customFormat="1" x14ac:dyDescent="0.25">
      <c r="D177" s="61" t="s">
        <v>62</v>
      </c>
      <c r="E177" s="105">
        <f>E176/E136</f>
        <v>0.83250190180645145</v>
      </c>
      <c r="F177" s="91"/>
      <c r="G177" s="46"/>
      <c r="H177" s="53"/>
      <c r="I177" s="52" t="s">
        <v>101</v>
      </c>
      <c r="J177" s="63"/>
      <c r="K177" s="60" t="s">
        <v>100</v>
      </c>
      <c r="L177" s="63"/>
      <c r="M177" s="1"/>
      <c r="N177" s="1"/>
      <c r="O177" s="15"/>
      <c r="P177" s="4"/>
      <c r="R177" s="4"/>
    </row>
    <row r="178" spans="2:18" customFormat="1" x14ac:dyDescent="0.25">
      <c r="B178" s="1"/>
      <c r="D178" s="68"/>
      <c r="E178" s="106"/>
      <c r="F178" s="65"/>
      <c r="G178" s="46"/>
      <c r="H178" s="53"/>
      <c r="I178" s="53">
        <v>-4.0250000000000004</v>
      </c>
      <c r="J178" s="55"/>
      <c r="K178" s="46"/>
      <c r="L178" s="61"/>
      <c r="M178" s="1"/>
      <c r="N178" s="1"/>
      <c r="O178" s="15"/>
      <c r="P178" s="4"/>
      <c r="R178" s="4"/>
    </row>
    <row r="179" spans="2:18" customFormat="1" x14ac:dyDescent="0.25">
      <c r="B179" s="1"/>
      <c r="D179" s="74"/>
      <c r="E179" s="106"/>
      <c r="F179" s="65"/>
      <c r="G179" s="46"/>
      <c r="H179" s="53"/>
      <c r="I179" s="53">
        <v>3.7974999999999999</v>
      </c>
      <c r="J179" s="55"/>
      <c r="K179" s="99"/>
      <c r="L179" s="61"/>
      <c r="M179" s="1"/>
      <c r="N179" s="1"/>
      <c r="O179" s="15"/>
      <c r="P179" s="4"/>
      <c r="R179" s="4"/>
    </row>
    <row r="180" spans="2:18" customFormat="1" x14ac:dyDescent="0.25">
      <c r="D180" s="74"/>
      <c r="E180" s="90"/>
      <c r="F180" s="65"/>
      <c r="G180" s="52"/>
      <c r="H180" s="53"/>
      <c r="I180" s="53">
        <v>3.7974999999999999</v>
      </c>
      <c r="J180" s="55"/>
      <c r="K180" s="99"/>
      <c r="L180" s="61"/>
      <c r="M180" s="1"/>
      <c r="N180" s="1"/>
      <c r="O180" s="15"/>
      <c r="P180" s="4"/>
      <c r="R180" s="4"/>
    </row>
    <row r="181" spans="2:18" customFormat="1" x14ac:dyDescent="0.25">
      <c r="D181" s="93"/>
      <c r="E181" s="90"/>
      <c r="F181" s="65"/>
      <c r="G181" s="69"/>
      <c r="H181" s="46"/>
      <c r="I181" s="89">
        <v>-3.8220000000000001</v>
      </c>
      <c r="J181" s="55"/>
      <c r="K181" s="52"/>
      <c r="L181" s="61"/>
      <c r="M181" s="1"/>
      <c r="N181" s="1"/>
      <c r="P181" s="4"/>
      <c r="R181" s="4"/>
    </row>
    <row r="182" spans="2:18" customFormat="1" x14ac:dyDescent="0.25">
      <c r="D182" s="99"/>
      <c r="E182" s="90"/>
      <c r="F182" s="65"/>
      <c r="G182" s="53"/>
      <c r="H182" s="53"/>
      <c r="I182" s="89"/>
      <c r="J182" s="55"/>
      <c r="K182" s="52"/>
      <c r="L182" s="61"/>
      <c r="M182" s="1"/>
      <c r="N182" s="1"/>
      <c r="P182" s="4"/>
      <c r="R182" s="4"/>
    </row>
    <row r="183" spans="2:18" customFormat="1" x14ac:dyDescent="0.25">
      <c r="D183" s="96"/>
      <c r="E183" s="90"/>
      <c r="F183" s="65"/>
      <c r="G183" s="53"/>
      <c r="H183" s="53"/>
      <c r="I183" s="89"/>
      <c r="J183" s="63"/>
      <c r="K183" s="60"/>
      <c r="L183" s="61"/>
      <c r="M183" s="1"/>
      <c r="N183" s="1"/>
      <c r="P183" s="4"/>
      <c r="R183" s="4"/>
    </row>
    <row r="184" spans="2:18" customFormat="1" x14ac:dyDescent="0.25">
      <c r="D184" s="96"/>
      <c r="E184" s="46"/>
      <c r="F184" s="65"/>
      <c r="G184" s="52"/>
      <c r="H184" s="53"/>
      <c r="I184" s="72"/>
      <c r="J184" s="55"/>
      <c r="K184" s="99"/>
      <c r="L184" s="61"/>
      <c r="P184" s="4"/>
      <c r="R184" s="4"/>
    </row>
    <row r="185" spans="2:18" customFormat="1" x14ac:dyDescent="0.25">
      <c r="D185" s="96"/>
      <c r="E185" s="90"/>
      <c r="F185" s="65"/>
      <c r="G185" s="53"/>
      <c r="H185" s="53"/>
      <c r="I185" s="72"/>
      <c r="J185" s="55"/>
      <c r="K185" s="99"/>
      <c r="L185" s="62"/>
      <c r="P185" s="4"/>
      <c r="R185" s="4"/>
    </row>
    <row r="186" spans="2:18" customFormat="1" x14ac:dyDescent="0.25">
      <c r="D186" s="96"/>
      <c r="E186" s="90"/>
      <c r="F186" s="95"/>
      <c r="G186" s="46"/>
      <c r="H186" s="55"/>
      <c r="I186" s="72"/>
      <c r="J186" s="62"/>
      <c r="K186" s="93"/>
      <c r="L186" s="62"/>
      <c r="P186" s="4"/>
      <c r="R186" s="4"/>
    </row>
    <row r="187" spans="2:18" customFormat="1" x14ac:dyDescent="0.25">
      <c r="D187" s="96"/>
      <c r="E187" s="90"/>
      <c r="F187" s="95"/>
      <c r="G187" s="53"/>
      <c r="H187" s="55"/>
      <c r="I187" s="53"/>
      <c r="J187" s="62"/>
      <c r="K187" s="93"/>
      <c r="L187" s="62"/>
      <c r="P187" s="4"/>
      <c r="R187" s="4"/>
    </row>
    <row r="188" spans="2:18" customFormat="1" x14ac:dyDescent="0.25">
      <c r="D188" s="96"/>
      <c r="E188" s="90"/>
      <c r="F188" s="65"/>
      <c r="G188" s="76"/>
      <c r="H188" s="55"/>
      <c r="I188" s="53"/>
      <c r="J188" s="62"/>
      <c r="K188" s="93"/>
      <c r="L188" s="62"/>
      <c r="P188" s="4"/>
      <c r="R188" s="4"/>
    </row>
    <row r="189" spans="2:18" customFormat="1" x14ac:dyDescent="0.25">
      <c r="D189" s="96"/>
      <c r="E189" s="90"/>
      <c r="F189" s="65"/>
      <c r="G189" s="76"/>
      <c r="H189" s="55"/>
      <c r="I189" s="53"/>
      <c r="J189" s="62"/>
      <c r="K189" s="93"/>
      <c r="L189" s="62"/>
      <c r="P189" s="4"/>
      <c r="R189" s="4"/>
    </row>
    <row r="190" spans="2:18" customFormat="1" x14ac:dyDescent="0.25">
      <c r="D190" s="96"/>
      <c r="E190" s="90"/>
      <c r="F190" s="65"/>
      <c r="G190" s="53"/>
      <c r="H190" s="55"/>
      <c r="I190" s="72"/>
      <c r="J190" s="62"/>
      <c r="K190" s="93"/>
      <c r="L190" s="62"/>
      <c r="P190" s="4"/>
      <c r="R190" s="4"/>
    </row>
    <row r="191" spans="2:18" customFormat="1" x14ac:dyDescent="0.25">
      <c r="D191" s="96"/>
      <c r="E191" s="90"/>
      <c r="F191" s="65"/>
      <c r="G191" s="46"/>
      <c r="H191" s="55"/>
      <c r="I191" s="78"/>
      <c r="J191" s="62"/>
      <c r="K191" s="93"/>
      <c r="L191" s="62"/>
      <c r="P191" s="4"/>
      <c r="R191" s="4"/>
    </row>
    <row r="192" spans="2:18" customFormat="1" x14ac:dyDescent="0.25">
      <c r="D192" s="96"/>
      <c r="E192" s="90"/>
      <c r="F192" s="65"/>
      <c r="G192" s="46" t="s">
        <v>99</v>
      </c>
      <c r="H192" s="55"/>
      <c r="I192" s="71">
        <f>SUM(I178:I191)</f>
        <v>-0.25200000000000067</v>
      </c>
      <c r="J192" s="62"/>
      <c r="K192" s="93"/>
      <c r="L192" s="62"/>
      <c r="P192" s="4"/>
      <c r="R192" s="4"/>
    </row>
    <row r="193" spans="4:18" customFormat="1" ht="21.75" customHeight="1" x14ac:dyDescent="0.25">
      <c r="D193" s="96"/>
      <c r="E193" s="90"/>
      <c r="F193" s="65"/>
      <c r="G193" s="79" t="s">
        <v>102</v>
      </c>
      <c r="H193" s="55"/>
      <c r="I193" s="52">
        <f>I192*F172</f>
        <v>-630.00000000000171</v>
      </c>
      <c r="J193" s="62"/>
      <c r="K193" s="93"/>
      <c r="L193" s="62"/>
      <c r="P193" s="4"/>
      <c r="R193" s="4"/>
    </row>
    <row r="194" spans="4:18" customFormat="1" ht="21.75" customHeight="1" x14ac:dyDescent="0.25">
      <c r="D194" s="96"/>
      <c r="E194" s="90"/>
      <c r="F194" s="65"/>
      <c r="G194" s="46" t="s">
        <v>100</v>
      </c>
      <c r="H194" s="55"/>
      <c r="I194" s="52">
        <f>SUM(K178:K191)*-39.13</f>
        <v>0</v>
      </c>
      <c r="J194" s="62"/>
      <c r="K194" s="93"/>
      <c r="L194" s="62"/>
      <c r="P194" s="4"/>
      <c r="R194" s="4"/>
    </row>
    <row r="195" spans="4:18" customFormat="1" ht="21.75" customHeight="1" x14ac:dyDescent="0.25">
      <c r="D195" s="96"/>
      <c r="E195" s="90"/>
      <c r="F195" s="65"/>
      <c r="G195" s="79" t="s">
        <v>3</v>
      </c>
      <c r="H195" s="62"/>
      <c r="I195" s="52">
        <f>SUM(I193:I194)</f>
        <v>-630.00000000000171</v>
      </c>
      <c r="J195" s="62"/>
      <c r="K195" s="62"/>
      <c r="L195" s="62"/>
      <c r="P195" s="4"/>
      <c r="R195" s="4"/>
    </row>
    <row r="196" spans="4:18" customFormat="1" ht="21.75" customHeight="1" x14ac:dyDescent="0.25">
      <c r="D196" s="75"/>
      <c r="E196" s="90"/>
      <c r="F196" s="65"/>
      <c r="G196" s="62"/>
      <c r="H196" s="62"/>
      <c r="I196" s="62"/>
      <c r="J196" s="62"/>
      <c r="K196" s="62"/>
      <c r="L196" s="62"/>
      <c r="P196" s="4"/>
      <c r="R196" s="4"/>
    </row>
    <row r="197" spans="4:18" customFormat="1" ht="21.75" customHeight="1" x14ac:dyDescent="0.25">
      <c r="D197" s="75"/>
      <c r="E197" s="90"/>
      <c r="F197" s="65"/>
      <c r="G197" s="62"/>
      <c r="H197" s="62"/>
      <c r="I197" s="62"/>
      <c r="J197" s="62"/>
      <c r="K197" s="62"/>
      <c r="L197" s="62"/>
      <c r="P197" s="4"/>
      <c r="R197" s="4"/>
    </row>
    <row r="198" spans="4:18" customFormat="1" ht="21.75" customHeight="1" x14ac:dyDescent="0.25">
      <c r="D198" s="75"/>
      <c r="E198" s="90"/>
      <c r="F198" s="65"/>
      <c r="G198" s="62"/>
      <c r="H198" s="62"/>
      <c r="I198" s="62"/>
      <c r="J198" s="62"/>
      <c r="K198" s="62"/>
      <c r="L198" s="62"/>
      <c r="P198" s="4"/>
      <c r="R198" s="4"/>
    </row>
    <row r="199" spans="4:18" customFormat="1" ht="21.75" customHeight="1" x14ac:dyDescent="0.25">
      <c r="D199" s="73"/>
      <c r="E199" s="90"/>
      <c r="F199" s="96"/>
      <c r="G199" s="62"/>
      <c r="H199" s="62"/>
      <c r="I199" s="62"/>
      <c r="J199" s="62"/>
      <c r="K199" s="62"/>
      <c r="L199" s="62"/>
      <c r="P199" s="4"/>
      <c r="R199" s="4"/>
    </row>
    <row r="200" spans="4:18" customFormat="1" ht="21.75" customHeight="1" x14ac:dyDescent="0.25">
      <c r="D200" s="75"/>
      <c r="E200" s="90"/>
      <c r="F200" s="65"/>
      <c r="G200" s="62"/>
      <c r="H200" s="62"/>
      <c r="I200" s="62"/>
      <c r="J200" s="62"/>
      <c r="K200" s="62"/>
      <c r="L200" s="62"/>
      <c r="P200" s="4"/>
      <c r="R200" s="4"/>
    </row>
    <row r="201" spans="4:18" customFormat="1" ht="21.75" customHeight="1" x14ac:dyDescent="0.25">
      <c r="D201" s="65"/>
      <c r="E201" s="75"/>
      <c r="F201" s="65"/>
      <c r="G201" s="62"/>
      <c r="H201" s="62"/>
      <c r="I201" s="62"/>
      <c r="J201" s="62"/>
      <c r="K201" s="62"/>
      <c r="L201" s="62"/>
      <c r="P201" s="4"/>
      <c r="R201" s="4"/>
    </row>
    <row r="202" spans="4:18" customFormat="1" ht="21.75" customHeight="1" x14ac:dyDescent="0.25">
      <c r="D202" s="65"/>
      <c r="E202" s="90"/>
      <c r="F202" s="65"/>
      <c r="G202" s="62"/>
      <c r="H202" s="62"/>
      <c r="I202" s="62"/>
      <c r="J202" s="62"/>
      <c r="K202" s="62"/>
      <c r="L202" s="62"/>
      <c r="P202" s="4"/>
      <c r="R202" s="4"/>
    </row>
    <row r="203" spans="4:18" customFormat="1" ht="21.75" customHeight="1" x14ac:dyDescent="0.25">
      <c r="D203" s="65"/>
      <c r="E203" s="75"/>
      <c r="F203" s="65"/>
      <c r="G203" s="62"/>
      <c r="H203" s="62"/>
      <c r="I203" s="62"/>
      <c r="J203" s="62"/>
      <c r="K203" s="62"/>
      <c r="L203" s="62"/>
      <c r="P203" s="4"/>
      <c r="R203" s="4"/>
    </row>
    <row r="204" spans="4:18" customFormat="1" ht="21.75" customHeight="1" x14ac:dyDescent="0.25">
      <c r="D204" s="65"/>
      <c r="E204" s="75"/>
      <c r="F204" s="65"/>
      <c r="G204" s="62"/>
      <c r="H204" s="62"/>
      <c r="I204" s="62"/>
      <c r="J204" s="62"/>
      <c r="K204" s="62"/>
      <c r="L204" s="62"/>
      <c r="P204" s="4"/>
      <c r="R204" s="4"/>
    </row>
    <row r="205" spans="4:18" customFormat="1" ht="21.75" customHeight="1" x14ac:dyDescent="0.25">
      <c r="D205" s="65"/>
      <c r="E205" s="75"/>
      <c r="F205" s="65"/>
      <c r="G205" s="62"/>
      <c r="H205" s="62"/>
      <c r="I205" s="62"/>
      <c r="J205" s="62"/>
      <c r="K205" s="62"/>
      <c r="L205" s="62"/>
      <c r="P205" s="4"/>
      <c r="R205" s="4"/>
    </row>
    <row r="206" spans="4:18" customFormat="1" ht="21.75" customHeight="1" x14ac:dyDescent="0.25">
      <c r="D206" s="65"/>
      <c r="E206" s="75"/>
      <c r="F206" s="65"/>
      <c r="G206" s="62"/>
      <c r="H206" s="62"/>
      <c r="I206" s="62"/>
      <c r="J206" s="62"/>
      <c r="K206" s="62"/>
      <c r="L206" s="62"/>
      <c r="P206" s="4"/>
      <c r="R206" s="4"/>
    </row>
    <row r="207" spans="4:18" customFormat="1" ht="21.75" customHeight="1" x14ac:dyDescent="0.25">
      <c r="D207" s="81"/>
      <c r="E207" s="75"/>
      <c r="F207" s="65"/>
      <c r="G207" s="80"/>
      <c r="H207" s="75"/>
      <c r="I207" s="62"/>
      <c r="J207" s="62"/>
      <c r="K207" s="62"/>
      <c r="L207" s="62"/>
      <c r="P207" s="4"/>
      <c r="R207" s="4"/>
    </row>
    <row r="208" spans="4:18" customFormat="1" ht="21.75" customHeight="1" x14ac:dyDescent="0.25">
      <c r="D208" s="65"/>
      <c r="E208" s="75"/>
      <c r="F208" s="65"/>
      <c r="G208" s="80"/>
      <c r="H208" s="75"/>
      <c r="I208" s="62"/>
      <c r="J208" s="62"/>
      <c r="K208" s="62"/>
      <c r="L208" s="62"/>
      <c r="O208" s="14"/>
      <c r="P208" s="4">
        <v>2650</v>
      </c>
      <c r="Q208" s="28"/>
      <c r="R208" s="4">
        <v>2650</v>
      </c>
    </row>
    <row r="209" spans="4:21" customFormat="1" ht="21.75" customHeight="1" x14ac:dyDescent="0.25">
      <c r="D209" s="65"/>
      <c r="E209" s="75"/>
      <c r="F209" s="65"/>
      <c r="G209" s="80"/>
      <c r="H209" s="75"/>
      <c r="I209" s="62"/>
      <c r="J209" s="62"/>
      <c r="K209" s="62"/>
      <c r="L209" s="62"/>
      <c r="O209" s="14"/>
      <c r="P209" s="4">
        <v>-2610</v>
      </c>
      <c r="Q209" s="28"/>
      <c r="R209" s="4">
        <v>-2610</v>
      </c>
      <c r="S209" s="14"/>
      <c r="T209" s="14"/>
      <c r="U209" s="14"/>
    </row>
    <row r="210" spans="4:21" customFormat="1" ht="21.75" customHeight="1" x14ac:dyDescent="0.25">
      <c r="D210" s="65"/>
      <c r="E210" s="75"/>
      <c r="F210" s="65"/>
      <c r="G210" s="80"/>
      <c r="H210" s="75"/>
      <c r="I210" s="62"/>
      <c r="J210" s="62"/>
      <c r="K210" s="62"/>
      <c r="L210" s="62"/>
      <c r="O210" s="14"/>
      <c r="P210" s="4"/>
      <c r="Q210" s="28"/>
      <c r="R210" s="4">
        <f>SUM(R208:R209)</f>
        <v>40</v>
      </c>
      <c r="S210" s="14"/>
      <c r="T210" s="14"/>
      <c r="U210" s="14"/>
    </row>
    <row r="211" spans="4:21" customFormat="1" ht="21.75" customHeight="1" x14ac:dyDescent="0.25">
      <c r="D211" s="65"/>
      <c r="E211" s="75"/>
      <c r="F211" s="65"/>
      <c r="G211" s="80"/>
      <c r="H211" s="75"/>
      <c r="I211" s="62"/>
      <c r="J211" s="62"/>
      <c r="K211" s="62"/>
      <c r="L211" s="62"/>
      <c r="M211" s="5"/>
      <c r="N211" s="1"/>
      <c r="O211" s="14"/>
      <c r="P211" s="4"/>
      <c r="Q211" s="28"/>
      <c r="R211" s="4">
        <f>R210*50</f>
        <v>2000</v>
      </c>
      <c r="S211" s="14"/>
      <c r="T211" s="14"/>
      <c r="U211" s="14"/>
    </row>
    <row r="212" spans="4:21" customFormat="1" ht="21.75" customHeight="1" x14ac:dyDescent="0.25">
      <c r="D212" s="68"/>
      <c r="E212" s="75"/>
      <c r="F212" s="65"/>
      <c r="G212" s="80"/>
      <c r="H212" s="75"/>
      <c r="I212" s="62"/>
      <c r="J212" s="62"/>
      <c r="K212" s="62"/>
      <c r="L212" s="60"/>
      <c r="M212" s="5"/>
      <c r="N212" s="1"/>
      <c r="O212" s="14"/>
      <c r="P212" s="4"/>
      <c r="Q212" s="28"/>
      <c r="R212" s="4"/>
      <c r="S212" s="14"/>
      <c r="T212" s="14"/>
      <c r="U212" s="14"/>
    </row>
    <row r="213" spans="4:21" customFormat="1" ht="21.75" customHeight="1" x14ac:dyDescent="0.25">
      <c r="D213" s="68"/>
      <c r="E213" s="75"/>
      <c r="F213" s="65"/>
      <c r="G213" s="80"/>
      <c r="H213" s="75"/>
      <c r="I213" s="62"/>
      <c r="J213" s="63"/>
      <c r="K213" s="52"/>
      <c r="L213" s="60"/>
      <c r="M213" s="5"/>
      <c r="N213" s="1"/>
      <c r="O213" s="14"/>
      <c r="P213" s="4"/>
      <c r="Q213" s="28"/>
      <c r="R213" s="4"/>
      <c r="S213" s="14"/>
      <c r="T213" s="14"/>
      <c r="U213" s="11">
        <v>4000</v>
      </c>
    </row>
    <row r="214" spans="4:21" customFormat="1" ht="21.75" customHeight="1" x14ac:dyDescent="0.25">
      <c r="D214" s="68"/>
      <c r="E214" s="75"/>
      <c r="F214" s="65"/>
      <c r="G214" s="80"/>
      <c r="H214" s="75"/>
      <c r="I214" s="62"/>
      <c r="J214" s="63"/>
      <c r="K214" s="52"/>
      <c r="L214" s="60"/>
      <c r="M214" s="5"/>
      <c r="N214" s="1"/>
      <c r="O214" s="14"/>
      <c r="P214" s="4"/>
      <c r="Q214" s="28"/>
      <c r="R214" s="4"/>
      <c r="S214" s="14"/>
      <c r="T214" s="14"/>
      <c r="U214" s="14">
        <v>3000</v>
      </c>
    </row>
    <row r="215" spans="4:21" customFormat="1" ht="21.75" customHeight="1" x14ac:dyDescent="0.25">
      <c r="D215" s="68"/>
      <c r="E215" s="46"/>
      <c r="F215" s="65"/>
      <c r="G215" s="80"/>
      <c r="H215" s="75"/>
      <c r="I215" s="62"/>
      <c r="J215" s="63"/>
      <c r="K215" s="52"/>
      <c r="L215" s="60"/>
      <c r="M215" s="4"/>
      <c r="N215" s="1"/>
      <c r="O215" s="14"/>
      <c r="P215" s="4"/>
      <c r="Q215" s="28"/>
      <c r="R215" s="4" t="s">
        <v>44</v>
      </c>
      <c r="S215" s="14"/>
      <c r="T215" s="14"/>
      <c r="U215" s="14">
        <v>2000</v>
      </c>
    </row>
    <row r="216" spans="4:21" customFormat="1" ht="21.75" customHeight="1" x14ac:dyDescent="0.25">
      <c r="D216" s="82"/>
      <c r="E216" s="46"/>
      <c r="F216" s="65"/>
      <c r="G216" s="80"/>
      <c r="H216" s="75"/>
      <c r="I216" s="62"/>
      <c r="J216" s="63"/>
      <c r="K216" s="52"/>
      <c r="L216" s="46"/>
      <c r="M216" s="4"/>
      <c r="N216" s="1"/>
      <c r="O216" s="14"/>
      <c r="P216" s="4"/>
      <c r="Q216" s="30"/>
      <c r="R216" s="4">
        <f>(5*-3)*50</f>
        <v>-750</v>
      </c>
      <c r="S216" s="11"/>
      <c r="T216" s="11"/>
      <c r="U216" s="14">
        <v>1000</v>
      </c>
    </row>
    <row r="217" spans="4:21" customFormat="1" ht="21.75" customHeight="1" x14ac:dyDescent="0.25">
      <c r="D217" s="79"/>
      <c r="E217" s="46"/>
      <c r="F217" s="65"/>
      <c r="G217" s="80"/>
      <c r="H217" s="75"/>
      <c r="I217" s="62"/>
      <c r="J217" s="83"/>
      <c r="K217" s="82"/>
      <c r="L217" s="79"/>
      <c r="M217" s="4"/>
      <c r="N217" s="1"/>
      <c r="O217" s="14"/>
      <c r="P217" s="4"/>
      <c r="Q217" s="28"/>
      <c r="R217" s="4">
        <f>(4*-3)*50</f>
        <v>-600</v>
      </c>
      <c r="S217" s="14"/>
      <c r="T217" s="14"/>
      <c r="U217" s="14">
        <v>0</v>
      </c>
    </row>
    <row r="218" spans="4:21" customFormat="1" ht="21.75" customHeight="1" x14ac:dyDescent="0.25">
      <c r="D218" s="77"/>
      <c r="E218" s="46"/>
      <c r="F218" s="65"/>
      <c r="G218" s="80"/>
      <c r="H218" s="75"/>
      <c r="I218" s="62"/>
      <c r="J218" s="84"/>
      <c r="K218" s="79"/>
      <c r="L218" s="79"/>
      <c r="M218" s="4"/>
      <c r="N218" s="1"/>
      <c r="O218" s="14"/>
      <c r="P218" s="4"/>
      <c r="Q218" s="28"/>
      <c r="R218" s="4">
        <f>(3*-3)*50</f>
        <v>-450</v>
      </c>
      <c r="S218" s="14"/>
      <c r="T218" s="14"/>
      <c r="U218" s="14"/>
    </row>
    <row r="219" spans="4:21" customFormat="1" ht="21.75" customHeight="1" x14ac:dyDescent="0.25">
      <c r="D219" s="74"/>
      <c r="E219" s="82"/>
      <c r="F219" s="97"/>
      <c r="G219" s="80"/>
      <c r="H219" s="75"/>
      <c r="I219" s="62"/>
      <c r="J219" s="84"/>
      <c r="K219" s="79"/>
      <c r="L219" s="79"/>
      <c r="M219" s="4"/>
      <c r="N219" s="1"/>
      <c r="O219" s="14"/>
      <c r="P219" s="4"/>
      <c r="Q219" s="28"/>
      <c r="R219" s="4">
        <f>(2*-3)*50</f>
        <v>-300</v>
      </c>
      <c r="S219" s="14"/>
      <c r="T219" s="14"/>
      <c r="U219" s="14">
        <f>SUM(U213:U217)</f>
        <v>10000</v>
      </c>
    </row>
    <row r="220" spans="4:21" customFormat="1" ht="21.75" customHeight="1" x14ac:dyDescent="0.25">
      <c r="D220" s="74"/>
      <c r="E220" s="79"/>
      <c r="F220" s="98"/>
      <c r="G220" s="80"/>
      <c r="H220" s="75"/>
      <c r="I220" s="62"/>
      <c r="J220" s="84"/>
      <c r="K220" s="79"/>
      <c r="L220" s="79"/>
      <c r="M220" s="4"/>
      <c r="N220" s="1"/>
      <c r="O220" s="14"/>
      <c r="P220" s="4"/>
      <c r="Q220" s="28"/>
      <c r="R220" s="4">
        <f>R219</f>
        <v>-300</v>
      </c>
      <c r="S220" s="14"/>
      <c r="T220" s="14"/>
      <c r="U220" s="14"/>
    </row>
    <row r="221" spans="4:21" customFormat="1" ht="21.75" customHeight="1" x14ac:dyDescent="0.25">
      <c r="D221" s="74"/>
      <c r="E221" s="79"/>
      <c r="F221" s="98"/>
      <c r="G221" s="80"/>
      <c r="H221" s="75"/>
      <c r="I221" s="62"/>
      <c r="J221" s="84"/>
      <c r="K221" s="79"/>
      <c r="L221" s="79"/>
      <c r="M221" s="4"/>
      <c r="N221" s="1"/>
      <c r="O221" s="14"/>
      <c r="P221" s="4"/>
      <c r="Q221" s="28"/>
      <c r="R221" s="4"/>
      <c r="S221" s="14"/>
      <c r="T221" s="14"/>
      <c r="U221" s="14"/>
    </row>
    <row r="222" spans="4:21" customFormat="1" ht="21.75" customHeight="1" x14ac:dyDescent="0.25">
      <c r="D222" s="74"/>
      <c r="E222" s="85"/>
      <c r="F222" s="98"/>
      <c r="G222" s="46"/>
      <c r="H222" s="55"/>
      <c r="I222" s="52"/>
      <c r="J222" s="84"/>
      <c r="K222" s="79"/>
      <c r="L222" s="79"/>
      <c r="M222" s="6"/>
      <c r="N222" s="1"/>
      <c r="O222" s="14"/>
      <c r="P222" s="4"/>
      <c r="Q222" s="28"/>
      <c r="R222" s="4">
        <f>SUM(R216:R220)</f>
        <v>-2400</v>
      </c>
      <c r="S222" s="14"/>
      <c r="T222" s="14"/>
      <c r="U222" s="14"/>
    </row>
    <row r="223" spans="4:21" customFormat="1" ht="21.75" customHeight="1" x14ac:dyDescent="0.25">
      <c r="D223" s="74"/>
      <c r="E223" s="79"/>
      <c r="F223" s="98"/>
      <c r="G223" s="46"/>
      <c r="H223" s="55"/>
      <c r="I223" s="52"/>
      <c r="J223" s="84"/>
      <c r="K223" s="79"/>
      <c r="L223" s="79"/>
      <c r="M223" s="4"/>
      <c r="N223" s="1"/>
      <c r="O223" s="14"/>
      <c r="P223" s="4"/>
      <c r="Q223" s="28"/>
      <c r="R223" s="4"/>
      <c r="S223" s="14"/>
      <c r="T223" s="14"/>
      <c r="U223" s="14"/>
    </row>
    <row r="224" spans="4:21" customFormat="1" ht="21.75" customHeight="1" x14ac:dyDescent="0.25">
      <c r="D224" s="74"/>
      <c r="E224" s="79"/>
      <c r="F224" s="98"/>
      <c r="G224" s="46"/>
      <c r="H224" s="55"/>
      <c r="I224" s="52"/>
      <c r="J224" s="84"/>
      <c r="K224" s="79"/>
      <c r="L224" s="79"/>
      <c r="M224" s="4"/>
      <c r="N224" s="1"/>
      <c r="O224" s="14"/>
      <c r="P224" s="4"/>
      <c r="Q224" s="28"/>
      <c r="R224" s="4"/>
      <c r="S224" s="14"/>
      <c r="T224" s="14"/>
      <c r="U224" s="14"/>
    </row>
    <row r="225" spans="4:18" customFormat="1" ht="21.75" customHeight="1" x14ac:dyDescent="0.25">
      <c r="D225" s="74"/>
      <c r="E225" s="79"/>
      <c r="F225" s="98"/>
      <c r="G225" s="46"/>
      <c r="H225" s="55"/>
      <c r="I225" s="52"/>
      <c r="J225" s="84"/>
      <c r="K225" s="79"/>
      <c r="L225" s="79"/>
      <c r="M225" s="4"/>
      <c r="N225" s="1"/>
      <c r="O225" s="14"/>
      <c r="P225" s="4"/>
      <c r="R225" s="4"/>
    </row>
    <row r="226" spans="4:18" customFormat="1" ht="21.75" customHeight="1" x14ac:dyDescent="0.25">
      <c r="D226" s="74"/>
      <c r="E226" s="79"/>
      <c r="F226" s="98"/>
      <c r="G226" s="82"/>
      <c r="H226" s="55"/>
      <c r="I226" s="82"/>
      <c r="J226" s="84"/>
      <c r="K226" s="79"/>
      <c r="L226" s="79"/>
      <c r="M226" s="4"/>
      <c r="N226" s="1"/>
      <c r="O226" s="14"/>
      <c r="P226" s="4"/>
      <c r="R226" s="4"/>
    </row>
    <row r="227" spans="4:18" customFormat="1" ht="21.75" customHeight="1" x14ac:dyDescent="0.25">
      <c r="D227" s="74"/>
      <c r="E227" s="79"/>
      <c r="F227" s="98"/>
      <c r="G227" s="79"/>
      <c r="H227" s="83"/>
      <c r="I227" s="79"/>
      <c r="J227" s="84"/>
      <c r="K227" s="79"/>
      <c r="L227" s="79"/>
      <c r="M227" s="4"/>
      <c r="N227" s="1"/>
      <c r="O227" s="14"/>
      <c r="P227" s="4"/>
      <c r="R227" s="4"/>
    </row>
    <row r="228" spans="4:18" customFormat="1" ht="21.75" customHeight="1" x14ac:dyDescent="0.25">
      <c r="D228" s="74"/>
      <c r="E228" s="79"/>
      <c r="F228" s="98"/>
      <c r="G228" s="79"/>
      <c r="H228" s="84"/>
      <c r="I228" s="79"/>
      <c r="J228" s="84"/>
      <c r="K228" s="79"/>
      <c r="L228" s="79"/>
      <c r="M228" s="4"/>
      <c r="N228" s="1"/>
      <c r="O228" s="14"/>
      <c r="P228" s="4"/>
      <c r="R228" s="4"/>
    </row>
    <row r="229" spans="4:18" customFormat="1" ht="21.75" customHeight="1" x14ac:dyDescent="0.25">
      <c r="D229" s="74"/>
      <c r="E229" s="79"/>
      <c r="F229" s="98"/>
      <c r="G229" s="79"/>
      <c r="H229" s="84"/>
      <c r="I229" s="79"/>
      <c r="J229" s="84"/>
      <c r="K229" s="79"/>
      <c r="L229" s="79"/>
      <c r="M229" s="4"/>
      <c r="N229" s="1"/>
      <c r="O229" s="14"/>
      <c r="P229" s="4"/>
      <c r="R229" s="4"/>
    </row>
    <row r="230" spans="4:18" customFormat="1" ht="21.75" customHeight="1" x14ac:dyDescent="0.25">
      <c r="D230" s="74" t="s">
        <v>20</v>
      </c>
      <c r="E230" s="79"/>
      <c r="F230" s="98"/>
      <c r="G230" s="79"/>
      <c r="H230" s="84"/>
      <c r="I230" s="79"/>
      <c r="J230" s="84"/>
      <c r="K230" s="79"/>
      <c r="L230" s="79"/>
      <c r="M230" s="4"/>
      <c r="N230" s="1"/>
      <c r="O230" s="14"/>
      <c r="P230" s="4"/>
      <c r="R230" s="4"/>
    </row>
    <row r="231" spans="4:18" customFormat="1" ht="21.75" customHeight="1" x14ac:dyDescent="0.25">
      <c r="D231" s="86" t="s">
        <v>75</v>
      </c>
      <c r="E231" s="79"/>
      <c r="F231" s="98"/>
      <c r="G231" s="79"/>
      <c r="H231" s="84"/>
      <c r="I231" s="79"/>
      <c r="J231" s="84"/>
      <c r="K231" s="79"/>
      <c r="L231" s="79"/>
      <c r="M231" s="4"/>
      <c r="N231" s="1"/>
      <c r="O231" s="14"/>
      <c r="P231" s="4"/>
      <c r="R231" s="4"/>
    </row>
    <row r="232" spans="4:18" customFormat="1" ht="21.75" customHeight="1" x14ac:dyDescent="0.25">
      <c r="D232" s="86" t="s">
        <v>23</v>
      </c>
      <c r="E232" s="79"/>
      <c r="F232" s="98"/>
      <c r="G232" s="79"/>
      <c r="H232" s="84"/>
      <c r="I232" s="79"/>
      <c r="J232" s="84"/>
      <c r="K232" s="79"/>
      <c r="L232" s="79"/>
      <c r="M232" s="4"/>
      <c r="N232" s="1"/>
      <c r="O232" s="14"/>
      <c r="P232" s="4"/>
      <c r="R232" s="4"/>
    </row>
    <row r="233" spans="4:18" customFormat="1" ht="21.75" customHeight="1" x14ac:dyDescent="0.25">
      <c r="D233" s="86" t="s">
        <v>21</v>
      </c>
      <c r="E233" s="79"/>
      <c r="F233" s="98"/>
      <c r="G233" s="79"/>
      <c r="H233" s="84"/>
      <c r="I233" s="79"/>
      <c r="J233" s="84"/>
      <c r="K233" s="79"/>
      <c r="L233" s="79"/>
      <c r="M233" s="4"/>
      <c r="N233" s="1"/>
      <c r="O233" s="14"/>
      <c r="P233" s="4"/>
      <c r="R233" s="4"/>
    </row>
    <row r="234" spans="4:18" customFormat="1" ht="21.75" customHeight="1" x14ac:dyDescent="0.25">
      <c r="D234" s="86" t="s">
        <v>22</v>
      </c>
      <c r="E234" s="79">
        <v>2647.58</v>
      </c>
      <c r="F234" s="98"/>
      <c r="G234" s="79"/>
      <c r="H234" s="84"/>
      <c r="I234" s="79"/>
      <c r="J234" s="84"/>
      <c r="K234" s="79"/>
      <c r="L234" s="79"/>
      <c r="M234" s="4"/>
      <c r="N234" s="1"/>
      <c r="O234" s="14"/>
      <c r="P234" s="4"/>
      <c r="R234" s="4"/>
    </row>
    <row r="235" spans="4:18" customFormat="1" ht="21.75" customHeight="1" x14ac:dyDescent="0.25">
      <c r="D235" s="86"/>
      <c r="E235" s="79">
        <v>2647.58</v>
      </c>
      <c r="F235" s="98"/>
      <c r="G235" s="79"/>
      <c r="H235" s="84"/>
      <c r="I235" s="79"/>
      <c r="J235" s="84"/>
      <c r="K235" s="79"/>
      <c r="L235" s="79"/>
      <c r="M235" s="4"/>
      <c r="N235" s="1"/>
      <c r="O235" s="14"/>
      <c r="P235" s="4"/>
      <c r="R235" s="4"/>
    </row>
    <row r="236" spans="4:18" customFormat="1" ht="21.75" customHeight="1" x14ac:dyDescent="0.25">
      <c r="D236" s="86" t="s">
        <v>25</v>
      </c>
      <c r="E236" s="79"/>
      <c r="F236" s="98"/>
      <c r="G236" s="79"/>
      <c r="H236" s="84"/>
      <c r="I236" s="79"/>
      <c r="J236" s="84"/>
      <c r="K236" s="79"/>
      <c r="L236" s="79"/>
      <c r="M236" s="4"/>
      <c r="N236" s="1"/>
      <c r="O236" s="14"/>
      <c r="P236" s="4"/>
      <c r="R236" s="4"/>
    </row>
    <row r="237" spans="4:18" customFormat="1" ht="21.75" customHeight="1" x14ac:dyDescent="0.25">
      <c r="D237" s="86" t="s">
        <v>27</v>
      </c>
      <c r="E237" s="79" t="s">
        <v>24</v>
      </c>
      <c r="F237" s="98"/>
      <c r="G237" s="79"/>
      <c r="H237" s="84"/>
      <c r="I237" s="79"/>
      <c r="J237" s="84"/>
      <c r="K237" s="79"/>
      <c r="L237" s="79"/>
      <c r="M237" s="4"/>
      <c r="N237" s="1"/>
      <c r="O237" s="14"/>
      <c r="P237" s="4"/>
      <c r="R237" s="4"/>
    </row>
    <row r="238" spans="4:18" customFormat="1" ht="21.75" customHeight="1" x14ac:dyDescent="0.25">
      <c r="D238" s="86" t="s">
        <v>26</v>
      </c>
      <c r="E238" s="79"/>
      <c r="F238" s="98"/>
      <c r="G238" s="79"/>
      <c r="H238" s="84"/>
      <c r="I238" s="79"/>
      <c r="J238" s="84"/>
      <c r="K238" s="79"/>
      <c r="L238" s="79"/>
      <c r="M238" s="4"/>
      <c r="N238" s="1"/>
      <c r="O238" s="14"/>
      <c r="P238" s="4"/>
      <c r="R238" s="4"/>
    </row>
    <row r="239" spans="4:18" customFormat="1" ht="21.75" customHeight="1" x14ac:dyDescent="0.25">
      <c r="D239" s="86"/>
      <c r="E239" s="79">
        <v>2647.58</v>
      </c>
      <c r="F239" s="98"/>
      <c r="G239" s="79"/>
      <c r="H239" s="84"/>
      <c r="I239" s="79"/>
      <c r="J239" s="84"/>
      <c r="K239" s="79"/>
      <c r="L239" s="79"/>
      <c r="M239" s="4"/>
      <c r="N239" s="1"/>
      <c r="O239" s="14"/>
      <c r="P239" s="4"/>
      <c r="R239" s="4"/>
    </row>
    <row r="240" spans="4:18" customFormat="1" ht="21.75" customHeight="1" x14ac:dyDescent="0.25">
      <c r="D240" s="86"/>
      <c r="E240" s="79"/>
      <c r="F240" s="98"/>
      <c r="G240" s="79"/>
      <c r="H240" s="84"/>
      <c r="I240" s="79"/>
      <c r="J240" s="84"/>
      <c r="K240" s="79"/>
      <c r="L240" s="79"/>
      <c r="M240" s="4"/>
      <c r="N240" s="1"/>
      <c r="O240" s="14"/>
      <c r="P240" s="4"/>
      <c r="R240" s="4"/>
    </row>
    <row r="241" spans="4:25" customFormat="1" ht="21.75" customHeight="1" x14ac:dyDescent="0.25">
      <c r="D241" s="86" t="s">
        <v>29</v>
      </c>
      <c r="E241" s="79">
        <v>2672.61</v>
      </c>
      <c r="F241" s="98">
        <f>(E241-E239)*150</f>
        <v>3754.50000000003</v>
      </c>
      <c r="G241" s="79"/>
      <c r="H241" s="84"/>
      <c r="I241" s="79"/>
      <c r="J241" s="84"/>
      <c r="K241" s="79"/>
      <c r="L241" s="79"/>
      <c r="M241" s="4"/>
      <c r="N241" s="1"/>
      <c r="O241" s="14"/>
      <c r="P241" s="4"/>
      <c r="Q241" s="28"/>
      <c r="R241" s="4"/>
      <c r="S241" s="14"/>
      <c r="T241" s="14"/>
      <c r="U241" s="14"/>
    </row>
    <row r="242" spans="4:25" customFormat="1" ht="21.75" customHeight="1" x14ac:dyDescent="0.25">
      <c r="D242" s="86" t="s">
        <v>30</v>
      </c>
      <c r="E242" s="79"/>
      <c r="F242" s="98"/>
      <c r="G242" s="79">
        <v>-150</v>
      </c>
      <c r="H242" s="84"/>
      <c r="I242" s="79"/>
      <c r="J242" s="84"/>
      <c r="K242" s="79"/>
      <c r="L242" s="79"/>
      <c r="M242" s="4"/>
      <c r="N242" s="1"/>
      <c r="O242" s="14"/>
      <c r="P242" s="4"/>
      <c r="Q242" s="28"/>
      <c r="R242" s="4"/>
      <c r="S242" s="14"/>
      <c r="T242" s="14"/>
      <c r="U242" s="14"/>
    </row>
    <row r="243" spans="4:25" customFormat="1" ht="21.75" customHeight="1" x14ac:dyDescent="0.25">
      <c r="D243" s="75" t="s">
        <v>31</v>
      </c>
      <c r="E243" s="79"/>
      <c r="F243" s="98"/>
      <c r="G243" s="79">
        <v>-300</v>
      </c>
      <c r="H243" s="84"/>
      <c r="I243" s="79"/>
      <c r="J243" s="84"/>
      <c r="K243" s="79"/>
      <c r="L243" s="46"/>
      <c r="M243" s="4"/>
      <c r="N243" s="1"/>
      <c r="O243" s="14"/>
      <c r="P243" s="4"/>
      <c r="Q243" s="28"/>
      <c r="R243" s="4"/>
      <c r="S243" s="14"/>
      <c r="T243" s="14"/>
      <c r="U243" s="14"/>
    </row>
    <row r="244" spans="4:25" customFormat="1" ht="21.75" customHeight="1" x14ac:dyDescent="0.25">
      <c r="D244" s="75"/>
      <c r="E244" s="79">
        <v>2823.81</v>
      </c>
      <c r="F244" s="98">
        <f>(E244-E241)*125</f>
        <v>18899.999999999978</v>
      </c>
      <c r="G244" s="79">
        <v>-1200</v>
      </c>
      <c r="H244" s="84"/>
      <c r="I244" s="79"/>
      <c r="J244" s="47"/>
      <c r="K244" s="46"/>
      <c r="L244" s="46" t="s">
        <v>13</v>
      </c>
      <c r="M244" s="4"/>
      <c r="N244" s="1"/>
      <c r="O244" s="14"/>
      <c r="P244" s="4"/>
      <c r="Q244" s="28"/>
      <c r="R244" s="4"/>
      <c r="S244" s="14"/>
      <c r="T244" s="14"/>
      <c r="U244" s="14"/>
    </row>
    <row r="245" spans="4:25" customFormat="1" ht="21.75" hidden="1" customHeight="1" x14ac:dyDescent="0.25">
      <c r="D245" s="75" t="s">
        <v>36</v>
      </c>
      <c r="E245" s="79"/>
      <c r="F245" s="98">
        <f>((56.21*3)*4)*-3</f>
        <v>-2023.56</v>
      </c>
      <c r="G245" s="79"/>
      <c r="H245" s="84"/>
      <c r="I245" s="79"/>
      <c r="J245" s="47"/>
      <c r="K245" s="46"/>
      <c r="L245" s="46">
        <f>SUM(G255:H255)</f>
        <v>-8071.4999999999918</v>
      </c>
      <c r="M245" s="4"/>
      <c r="N245" s="1"/>
      <c r="O245" s="14"/>
      <c r="P245" s="4"/>
      <c r="Q245" s="28"/>
      <c r="R245" s="4"/>
      <c r="S245" s="14"/>
      <c r="T245" s="14"/>
      <c r="U245" s="14"/>
    </row>
    <row r="246" spans="4:25" customFormat="1" ht="21.75" hidden="1" customHeight="1" x14ac:dyDescent="0.25">
      <c r="D246" s="75"/>
      <c r="E246" s="46"/>
      <c r="F246" s="98">
        <f>SUM(F244:F245)</f>
        <v>16876.439999999977</v>
      </c>
      <c r="G246" s="79"/>
      <c r="H246" s="84"/>
      <c r="I246" s="79"/>
      <c r="J246" s="47"/>
      <c r="K246" s="46"/>
      <c r="L246" s="46"/>
      <c r="M246" s="4"/>
      <c r="N246" s="1"/>
      <c r="O246" s="14"/>
      <c r="P246" s="4"/>
      <c r="Q246" s="28"/>
      <c r="R246" s="4"/>
      <c r="S246" s="14"/>
      <c r="T246" s="14"/>
      <c r="U246" s="14"/>
    </row>
    <row r="247" spans="4:25" customFormat="1" ht="21.75" hidden="1" customHeight="1" x14ac:dyDescent="0.25">
      <c r="D247" s="75" t="s">
        <v>37</v>
      </c>
      <c r="E247" s="46" t="s">
        <v>32</v>
      </c>
      <c r="F247" s="65" t="s">
        <v>33</v>
      </c>
      <c r="G247" s="79"/>
      <c r="H247" s="84"/>
      <c r="I247" s="79"/>
      <c r="J247" s="47"/>
      <c r="K247" s="46"/>
      <c r="L247" s="46"/>
      <c r="M247" s="4"/>
      <c r="N247" s="1"/>
      <c r="O247" s="14"/>
      <c r="P247" s="4"/>
      <c r="Q247" s="28"/>
      <c r="R247" s="4"/>
      <c r="S247" s="14"/>
      <c r="T247" s="14"/>
      <c r="U247" s="14"/>
    </row>
    <row r="248" spans="4:25" customFormat="1" ht="21.75" hidden="1" customHeight="1" x14ac:dyDescent="0.25">
      <c r="D248" s="75" t="s">
        <v>37</v>
      </c>
      <c r="E248" s="79">
        <v>2770</v>
      </c>
      <c r="F248" s="98">
        <f>(E248-E244)*3</f>
        <v>-161.42999999999984</v>
      </c>
      <c r="G248" s="79">
        <f>SUM(F241)</f>
        <v>3754.50000000003</v>
      </c>
      <c r="H248" s="84"/>
      <c r="I248" s="79"/>
      <c r="J248" s="47"/>
      <c r="K248" s="46"/>
      <c r="L248" s="46"/>
      <c r="M248" s="4"/>
      <c r="N248" s="1"/>
      <c r="O248" s="14"/>
      <c r="P248" s="4"/>
      <c r="Q248" s="28"/>
      <c r="R248" s="4"/>
      <c r="S248" s="14"/>
      <c r="T248" s="14"/>
      <c r="U248" s="14"/>
    </row>
    <row r="249" spans="4:25" customFormat="1" ht="21.75" hidden="1" customHeight="1" x14ac:dyDescent="0.25">
      <c r="D249" s="75" t="s">
        <v>37</v>
      </c>
      <c r="E249" s="79"/>
      <c r="F249" s="65"/>
      <c r="G249" s="79">
        <f>SUM(G242:G248)</f>
        <v>2104.50000000003</v>
      </c>
      <c r="H249" s="84"/>
      <c r="I249" s="79"/>
      <c r="J249" s="47"/>
      <c r="K249" s="46"/>
      <c r="L249" s="46"/>
      <c r="M249" s="4"/>
      <c r="N249" s="1"/>
      <c r="O249" s="14"/>
      <c r="P249" s="4"/>
      <c r="Q249" s="28"/>
      <c r="R249" s="4"/>
      <c r="S249" s="14"/>
      <c r="T249" s="14"/>
      <c r="U249" s="14"/>
    </row>
    <row r="250" spans="4:25" customFormat="1" ht="21.75" hidden="1" customHeight="1" x14ac:dyDescent="0.25">
      <c r="D250" s="75"/>
      <c r="E250" s="79">
        <v>2741</v>
      </c>
      <c r="F250" s="65">
        <v>30</v>
      </c>
      <c r="G250" s="79"/>
      <c r="H250" s="84"/>
      <c r="I250" s="79"/>
      <c r="J250" s="47"/>
      <c r="K250" s="46"/>
      <c r="L250" s="46">
        <f>SUM(G260:H260)</f>
        <v>4350</v>
      </c>
      <c r="M250" s="4"/>
      <c r="N250" s="1"/>
      <c r="O250" s="14"/>
      <c r="P250" s="4"/>
      <c r="Q250" s="28"/>
      <c r="R250" s="4"/>
      <c r="S250" s="14"/>
      <c r="T250" s="14"/>
      <c r="U250" s="14"/>
    </row>
    <row r="251" spans="4:25" customFormat="1" ht="21.75" hidden="1" customHeight="1" x14ac:dyDescent="0.25">
      <c r="D251" s="75" t="s">
        <v>38</v>
      </c>
      <c r="E251" s="79">
        <v>2710</v>
      </c>
      <c r="F251" s="65">
        <v>30</v>
      </c>
      <c r="G251" s="79"/>
      <c r="H251" s="84"/>
      <c r="I251" s="79"/>
      <c r="J251" s="47"/>
      <c r="K251" s="46"/>
      <c r="L251" s="46">
        <f>SUM(L245:L250)</f>
        <v>-3721.4999999999918</v>
      </c>
      <c r="M251" s="4"/>
      <c r="N251" s="1"/>
      <c r="O251" s="14"/>
      <c r="P251" s="4"/>
      <c r="Q251" s="28"/>
      <c r="R251" s="4"/>
      <c r="S251" s="14"/>
      <c r="T251" s="14"/>
      <c r="U251" s="14"/>
    </row>
    <row r="252" spans="4:25" customFormat="1" ht="21.75" hidden="1" customHeight="1" x14ac:dyDescent="0.25">
      <c r="D252" s="75"/>
      <c r="E252" s="79">
        <v>2680</v>
      </c>
      <c r="F252" s="65">
        <v>30</v>
      </c>
      <c r="G252" s="79"/>
      <c r="H252" s="84"/>
      <c r="I252" s="79"/>
      <c r="J252" s="47"/>
      <c r="K252" s="46"/>
      <c r="L252" s="46"/>
      <c r="M252" s="1"/>
      <c r="N252" s="1"/>
      <c r="O252" s="14"/>
      <c r="P252" s="4"/>
      <c r="Q252" s="28"/>
      <c r="R252" s="4"/>
      <c r="S252" s="14"/>
      <c r="T252" s="14"/>
      <c r="U252" s="14"/>
    </row>
    <row r="253" spans="4:25" customFormat="1" ht="21.75" hidden="1" customHeight="1" x14ac:dyDescent="0.25">
      <c r="D253" s="75"/>
      <c r="E253" s="79"/>
      <c r="F253" s="65">
        <f>SUM(F250:F252)</f>
        <v>90</v>
      </c>
      <c r="G253" s="46"/>
      <c r="H253" s="84"/>
      <c r="I253" s="46"/>
      <c r="J253" s="47"/>
      <c r="K253" s="46"/>
      <c r="L253" s="46"/>
      <c r="M253" s="1"/>
      <c r="N253" s="1"/>
      <c r="O253" s="14"/>
      <c r="P253" s="4"/>
      <c r="Q253" s="28"/>
      <c r="R253" s="4"/>
      <c r="S253" s="14"/>
      <c r="T253" s="14"/>
      <c r="U253" s="14"/>
    </row>
    <row r="254" spans="4:25" customFormat="1" ht="21.75" hidden="1" customHeight="1" x14ac:dyDescent="0.25">
      <c r="D254" s="87" t="s">
        <v>40</v>
      </c>
      <c r="E254" s="79">
        <v>2630</v>
      </c>
      <c r="F254" s="65"/>
      <c r="G254" s="46" t="s">
        <v>34</v>
      </c>
      <c r="H254" s="47"/>
      <c r="I254" s="46"/>
      <c r="J254" s="88"/>
      <c r="K254" s="51"/>
      <c r="L254" s="46">
        <v>2650</v>
      </c>
      <c r="M254" s="1"/>
      <c r="N254" s="1"/>
      <c r="O254" s="14"/>
      <c r="P254" s="4"/>
      <c r="Q254" s="28"/>
      <c r="R254" s="4"/>
      <c r="S254" s="14"/>
      <c r="T254" s="14"/>
      <c r="U254" s="14"/>
    </row>
    <row r="255" spans="4:25" customFormat="1" ht="21.75" hidden="1" customHeight="1" x14ac:dyDescent="0.25">
      <c r="D255" s="75" t="s">
        <v>42</v>
      </c>
      <c r="E255" s="79"/>
      <c r="F255" s="65"/>
      <c r="G255" s="46">
        <f>F248*50</f>
        <v>-8071.4999999999918</v>
      </c>
      <c r="H255" s="47" t="s">
        <v>35</v>
      </c>
      <c r="I255" s="46"/>
      <c r="J255" s="47"/>
      <c r="K255" s="46"/>
      <c r="L255" s="46">
        <v>2650</v>
      </c>
      <c r="M255" s="1"/>
      <c r="N255" s="1"/>
      <c r="O255" s="14"/>
      <c r="P255" s="4"/>
      <c r="Q255" s="28"/>
      <c r="R255" s="4"/>
      <c r="S255" s="14"/>
      <c r="T255" s="14"/>
      <c r="U255" s="14"/>
      <c r="Y255" s="1"/>
    </row>
    <row r="256" spans="4:25" customFormat="1" ht="21.75" hidden="1" customHeight="1" x14ac:dyDescent="0.25">
      <c r="D256" s="75" t="s">
        <v>42</v>
      </c>
      <c r="E256" s="79"/>
      <c r="F256" s="65" t="s">
        <v>41</v>
      </c>
      <c r="G256" s="46"/>
      <c r="H256" s="47">
        <f>-50*3</f>
        <v>-150</v>
      </c>
      <c r="I256" s="46"/>
      <c r="J256" s="47"/>
      <c r="K256" s="46"/>
      <c r="L256" s="46">
        <v>2650</v>
      </c>
      <c r="M256" s="1"/>
      <c r="N256" s="1"/>
      <c r="O256" s="14"/>
      <c r="P256" s="4"/>
      <c r="Q256" s="28"/>
      <c r="R256" s="4"/>
      <c r="S256" s="14"/>
      <c r="T256" s="14"/>
      <c r="U256" s="14"/>
      <c r="X256" s="1"/>
    </row>
    <row r="257" spans="4:25" customFormat="1" ht="21.75" hidden="1" customHeight="1" x14ac:dyDescent="0.25">
      <c r="D257" s="75" t="s">
        <v>42</v>
      </c>
      <c r="E257" s="79">
        <v>2690</v>
      </c>
      <c r="F257" s="65">
        <v>2710</v>
      </c>
      <c r="G257" s="46"/>
      <c r="H257" s="47"/>
      <c r="I257" s="46"/>
      <c r="J257" s="47"/>
      <c r="K257" s="46"/>
      <c r="L257" s="46">
        <v>2650</v>
      </c>
      <c r="M257" s="1"/>
      <c r="N257" s="1"/>
      <c r="O257" s="14"/>
      <c r="P257" s="4"/>
      <c r="R257" s="4"/>
      <c r="Y257" s="1"/>
    </row>
    <row r="258" spans="4:25" customFormat="1" ht="21.75" hidden="1" customHeight="1" x14ac:dyDescent="0.25">
      <c r="D258" s="75" t="s">
        <v>42</v>
      </c>
      <c r="E258" s="79">
        <v>2670</v>
      </c>
      <c r="F258" s="65"/>
      <c r="G258" s="46"/>
      <c r="H258" s="47">
        <v>-150</v>
      </c>
      <c r="I258" s="46"/>
      <c r="J258" s="47"/>
      <c r="K258" s="46"/>
      <c r="L258" s="46"/>
      <c r="M258" s="1"/>
      <c r="N258" s="1"/>
      <c r="O258" s="14"/>
      <c r="P258" s="4"/>
      <c r="R258" s="4"/>
      <c r="X258" s="1"/>
    </row>
    <row r="259" spans="4:25" customFormat="1" ht="21.75" hidden="1" customHeight="1" x14ac:dyDescent="0.25">
      <c r="D259" s="46" t="s">
        <v>36</v>
      </c>
      <c r="E259" s="79">
        <v>2650</v>
      </c>
      <c r="F259" s="65"/>
      <c r="G259" s="46"/>
      <c r="H259" s="47">
        <v>-150</v>
      </c>
      <c r="I259" s="46"/>
      <c r="J259" s="47"/>
      <c r="K259" s="46"/>
      <c r="L259" s="46"/>
      <c r="M259" s="1"/>
      <c r="N259" s="1"/>
      <c r="O259" s="14"/>
      <c r="P259" s="4"/>
      <c r="R259" s="4"/>
    </row>
    <row r="260" spans="4:25" customFormat="1" ht="21.75" hidden="1" customHeight="1" x14ac:dyDescent="0.25">
      <c r="D260" s="75"/>
      <c r="E260" s="79">
        <v>2630</v>
      </c>
      <c r="F260" s="65"/>
      <c r="G260" s="46">
        <f>F253*50</f>
        <v>4500</v>
      </c>
      <c r="H260" s="47">
        <v>-150</v>
      </c>
      <c r="I260" s="46"/>
      <c r="J260" s="47"/>
      <c r="K260" s="46"/>
      <c r="L260" s="46"/>
      <c r="M260" s="1"/>
      <c r="N260" s="1"/>
      <c r="O260" s="14"/>
      <c r="P260" s="4"/>
      <c r="R260" s="4"/>
    </row>
    <row r="261" spans="4:25" customFormat="1" ht="21.75" hidden="1" customHeight="1" x14ac:dyDescent="0.25">
      <c r="D261" s="46" t="s">
        <v>45</v>
      </c>
      <c r="E261" s="79">
        <v>2610</v>
      </c>
      <c r="F261" s="65"/>
      <c r="G261" s="46"/>
      <c r="H261" s="47">
        <f>SUM(H258:H260)</f>
        <v>-450</v>
      </c>
      <c r="I261" s="46"/>
      <c r="J261" s="47"/>
      <c r="K261" s="46"/>
      <c r="L261" s="46"/>
      <c r="M261" s="1"/>
      <c r="N261" s="1"/>
      <c r="O261" s="14"/>
      <c r="P261" s="4"/>
      <c r="R261" s="4"/>
    </row>
    <row r="262" spans="4:25" customFormat="1" ht="21.75" hidden="1" customHeight="1" x14ac:dyDescent="0.25">
      <c r="D262" s="46" t="s">
        <v>45</v>
      </c>
      <c r="E262" s="46">
        <v>2610</v>
      </c>
      <c r="F262" s="65"/>
      <c r="G262" s="46"/>
      <c r="H262" s="47"/>
      <c r="I262" s="46"/>
      <c r="J262" s="47"/>
      <c r="K262" s="46"/>
      <c r="L262" s="46"/>
      <c r="M262" s="1"/>
      <c r="N262" s="1"/>
      <c r="O262" s="14"/>
      <c r="P262" s="4"/>
      <c r="R262" s="4"/>
    </row>
    <row r="263" spans="4:25" customFormat="1" ht="21.75" hidden="1" customHeight="1" x14ac:dyDescent="0.25">
      <c r="D263" s="46"/>
      <c r="E263" s="46"/>
      <c r="F263" s="65" t="s">
        <v>41</v>
      </c>
      <c r="G263" s="51" t="s">
        <v>41</v>
      </c>
      <c r="H263" s="47"/>
      <c r="I263" s="51"/>
      <c r="J263" s="47"/>
      <c r="K263" s="46"/>
      <c r="L263" s="46"/>
      <c r="M263" s="1"/>
      <c r="N263" s="1"/>
      <c r="O263" s="14"/>
      <c r="P263" s="4"/>
      <c r="R263" s="4"/>
    </row>
    <row r="264" spans="4:25" customFormat="1" ht="21.75" hidden="1" customHeight="1" x14ac:dyDescent="0.25">
      <c r="D264" s="46"/>
      <c r="E264" s="46">
        <v>2640</v>
      </c>
      <c r="F264" s="65">
        <v>2660</v>
      </c>
      <c r="G264" s="46">
        <v>2690</v>
      </c>
      <c r="H264" s="88" t="s">
        <v>41</v>
      </c>
      <c r="I264" s="46"/>
      <c r="J264" s="47"/>
      <c r="K264" s="46"/>
      <c r="L264" s="46"/>
      <c r="M264" s="1"/>
      <c r="N264" s="1"/>
      <c r="O264" s="14"/>
      <c r="P264" s="4"/>
      <c r="R264" s="4"/>
    </row>
    <row r="265" spans="4:25" customFormat="1" ht="21.75" hidden="1" customHeight="1" x14ac:dyDescent="0.25">
      <c r="D265" s="46" t="s">
        <v>48</v>
      </c>
      <c r="E265" s="46">
        <v>2640</v>
      </c>
      <c r="F265" s="65">
        <v>2660</v>
      </c>
      <c r="G265" s="46">
        <v>2690</v>
      </c>
      <c r="H265" s="47">
        <v>2670</v>
      </c>
      <c r="I265" s="46"/>
      <c r="J265" s="47"/>
      <c r="K265" s="46"/>
      <c r="L265" s="46"/>
      <c r="M265" s="1"/>
      <c r="N265" s="1"/>
      <c r="O265" s="14"/>
      <c r="P265" s="4"/>
      <c r="R265" s="4"/>
    </row>
    <row r="266" spans="4:25" customFormat="1" ht="21.75" hidden="1" customHeight="1" x14ac:dyDescent="0.25">
      <c r="D266" s="46"/>
      <c r="E266" s="46"/>
      <c r="F266" s="65"/>
      <c r="G266" s="46"/>
      <c r="H266" s="47">
        <v>2670</v>
      </c>
      <c r="I266" s="46"/>
      <c r="J266" s="47"/>
      <c r="K266" s="46"/>
      <c r="L266" s="46"/>
      <c r="M266" s="1"/>
      <c r="N266" s="1"/>
      <c r="O266" s="14"/>
      <c r="P266" s="4"/>
      <c r="R266" s="4"/>
    </row>
    <row r="267" spans="4:25" customFormat="1" ht="21.75" hidden="1" customHeight="1" x14ac:dyDescent="0.25">
      <c r="D267" s="46"/>
      <c r="E267" s="46"/>
      <c r="F267" s="65" t="s">
        <v>43</v>
      </c>
      <c r="G267" s="46"/>
      <c r="H267" s="47">
        <v>2670</v>
      </c>
      <c r="I267" s="46"/>
      <c r="J267" s="47"/>
      <c r="K267" s="46"/>
      <c r="L267" s="46"/>
      <c r="M267" s="1"/>
      <c r="N267" s="1"/>
      <c r="O267" s="14"/>
      <c r="P267" s="4"/>
      <c r="R267" s="4"/>
    </row>
    <row r="268" spans="4:25" customFormat="1" ht="21.75" hidden="1" customHeight="1" x14ac:dyDescent="0.25">
      <c r="D268" s="46"/>
      <c r="E268" s="46">
        <v>2635</v>
      </c>
      <c r="F268" s="65">
        <v>2647</v>
      </c>
      <c r="G268" s="46"/>
      <c r="H268" s="47"/>
      <c r="I268" s="46"/>
      <c r="J268" s="47"/>
      <c r="K268" s="46"/>
      <c r="L268" s="46"/>
      <c r="M268" s="1"/>
      <c r="N268" s="1"/>
      <c r="O268" s="14"/>
      <c r="P268" s="4"/>
      <c r="R268" s="4"/>
    </row>
    <row r="269" spans="4:25" customFormat="1" ht="21.75" hidden="1" customHeight="1" x14ac:dyDescent="0.25">
      <c r="D269" s="62"/>
      <c r="E269" s="46"/>
      <c r="F269" s="65"/>
      <c r="G269" s="46"/>
      <c r="H269" s="47"/>
      <c r="I269" s="46"/>
      <c r="J269" s="47"/>
      <c r="K269" s="46"/>
      <c r="L269" s="62"/>
      <c r="M269" s="1"/>
      <c r="N269" s="1"/>
      <c r="O269" s="14"/>
      <c r="P269" s="4"/>
      <c r="R269" s="4"/>
    </row>
    <row r="270" spans="4:25" customFormat="1" ht="21.75" hidden="1" customHeight="1" x14ac:dyDescent="0.25">
      <c r="D270" s="62"/>
      <c r="E270" s="46"/>
      <c r="F270" s="65"/>
      <c r="G270" s="46"/>
      <c r="H270" s="47"/>
      <c r="I270" s="46"/>
      <c r="J270" s="62"/>
      <c r="K270" s="62"/>
      <c r="L270" s="62"/>
      <c r="M270" s="1"/>
      <c r="N270" s="1"/>
      <c r="O270" s="14"/>
      <c r="P270" s="4"/>
      <c r="R270" s="4"/>
      <c r="W270" s="1"/>
    </row>
    <row r="271" spans="4:25" customFormat="1" ht="21.75" hidden="1" customHeight="1" x14ac:dyDescent="0.25">
      <c r="D271" s="62"/>
      <c r="E271" s="46"/>
      <c r="F271" s="65"/>
      <c r="G271" s="46">
        <f>15*50</f>
        <v>750</v>
      </c>
      <c r="H271" s="47"/>
      <c r="I271" s="46"/>
      <c r="J271" s="62"/>
      <c r="K271" s="62"/>
      <c r="L271" s="62"/>
      <c r="M271" s="1"/>
      <c r="N271" s="1"/>
      <c r="O271" s="14"/>
      <c r="P271" s="4"/>
      <c r="R271" s="4"/>
      <c r="W271" s="4"/>
    </row>
    <row r="272" spans="4:25" customFormat="1" ht="21.75" hidden="1" customHeight="1" x14ac:dyDescent="0.25">
      <c r="D272" s="62"/>
      <c r="E272" s="62"/>
      <c r="F272" s="65"/>
      <c r="G272" s="46"/>
      <c r="H272" s="47"/>
      <c r="I272" s="46"/>
      <c r="J272" s="62"/>
      <c r="K272" s="62"/>
      <c r="L272" s="62"/>
      <c r="M272" s="1"/>
      <c r="N272" s="1"/>
      <c r="O272" s="14"/>
      <c r="P272" s="4"/>
      <c r="R272" s="4"/>
      <c r="V272" s="1"/>
      <c r="W272" s="1"/>
    </row>
    <row r="273" spans="4:23" customFormat="1" ht="21.75" hidden="1" customHeight="1" x14ac:dyDescent="0.25">
      <c r="D273" s="62"/>
      <c r="E273" s="62"/>
      <c r="F273" s="65"/>
      <c r="G273" s="46"/>
      <c r="H273" s="47"/>
      <c r="I273" s="46"/>
      <c r="J273" s="62"/>
      <c r="K273" s="62"/>
      <c r="L273" s="62"/>
      <c r="M273" s="1"/>
      <c r="N273" s="1"/>
      <c r="O273" s="14"/>
      <c r="P273" s="4"/>
      <c r="R273" s="4"/>
      <c r="V273" s="4"/>
      <c r="W273" s="1"/>
    </row>
    <row r="274" spans="4:23" customFormat="1" ht="21.75" hidden="1" customHeight="1" x14ac:dyDescent="0.25">
      <c r="D274" s="62"/>
      <c r="E274" s="62"/>
      <c r="F274" s="65"/>
      <c r="G274" s="46" t="s">
        <v>41</v>
      </c>
      <c r="H274" s="47"/>
      <c r="I274" s="46"/>
      <c r="J274" s="62"/>
      <c r="K274" s="62"/>
      <c r="L274" s="62"/>
      <c r="M274" s="1"/>
      <c r="N274" s="1"/>
      <c r="O274" s="14"/>
      <c r="P274" s="4"/>
      <c r="R274" s="4"/>
      <c r="V274" s="1"/>
      <c r="W274" s="1"/>
    </row>
    <row r="275" spans="4:23" customFormat="1" ht="21.75" hidden="1" customHeight="1" x14ac:dyDescent="0.25">
      <c r="D275" s="62"/>
      <c r="E275" s="62"/>
      <c r="F275" s="65"/>
      <c r="G275" s="46">
        <v>2655</v>
      </c>
      <c r="H275" s="47"/>
      <c r="I275" s="46"/>
      <c r="J275" s="62"/>
      <c r="K275" s="62"/>
      <c r="L275" s="62"/>
      <c r="M275" s="1"/>
      <c r="N275" s="1"/>
      <c r="O275" s="14"/>
      <c r="P275" s="4"/>
      <c r="R275" s="4"/>
      <c r="V275" s="1"/>
      <c r="W275" s="1"/>
    </row>
    <row r="276" spans="4:23" customFormat="1" ht="21.75" hidden="1" customHeight="1" x14ac:dyDescent="0.25">
      <c r="D276" s="62"/>
      <c r="E276" s="62"/>
      <c r="F276" s="65"/>
      <c r="G276" s="46"/>
      <c r="H276" s="47"/>
      <c r="I276" s="46"/>
      <c r="J276" s="62"/>
      <c r="K276" s="62"/>
      <c r="L276" s="62"/>
      <c r="M276" s="1"/>
      <c r="N276" s="1"/>
      <c r="O276" s="14"/>
      <c r="P276" s="4"/>
      <c r="R276" s="4"/>
      <c r="V276" s="1"/>
      <c r="W276" s="1"/>
    </row>
    <row r="277" spans="4:23" customFormat="1" ht="21.75" hidden="1" customHeight="1" x14ac:dyDescent="0.25">
      <c r="D277" s="62"/>
      <c r="E277" s="62"/>
      <c r="F277" s="65"/>
      <c r="G277" s="46"/>
      <c r="H277" s="47"/>
      <c r="I277" s="46"/>
      <c r="J277" s="62"/>
      <c r="K277" s="62"/>
      <c r="L277" s="62"/>
      <c r="M277" s="1"/>
      <c r="N277" s="1"/>
      <c r="O277" s="14"/>
      <c r="P277" s="4"/>
      <c r="R277" s="4"/>
      <c r="V277" s="1"/>
      <c r="W277" s="1"/>
    </row>
    <row r="278" spans="4:23" customFormat="1" ht="21.75" hidden="1" customHeight="1" x14ac:dyDescent="0.25">
      <c r="D278" s="62"/>
      <c r="E278" s="62"/>
      <c r="F278" s="65"/>
      <c r="G278" s="46"/>
      <c r="H278" s="47"/>
      <c r="I278" s="46"/>
      <c r="J278" s="62"/>
      <c r="K278" s="62"/>
      <c r="L278" s="62"/>
      <c r="M278" s="4"/>
      <c r="N278" s="1"/>
      <c r="O278" s="14"/>
      <c r="P278" s="4"/>
      <c r="R278" s="4"/>
      <c r="V278" s="1"/>
      <c r="W278" s="1"/>
    </row>
    <row r="279" spans="4:23" customFormat="1" ht="21.75" hidden="1" customHeight="1" x14ac:dyDescent="0.25">
      <c r="D279" s="46"/>
      <c r="E279" s="62"/>
      <c r="F279" s="65"/>
      <c r="G279" s="62"/>
      <c r="H279" s="62"/>
      <c r="I279" s="62"/>
      <c r="J279" s="62"/>
      <c r="K279" s="62"/>
      <c r="L279" s="46"/>
      <c r="M279" s="4"/>
      <c r="N279" s="1"/>
      <c r="O279" s="14"/>
      <c r="P279" s="4"/>
      <c r="R279" s="4"/>
      <c r="V279" s="12">
        <f>SUM(O280:U280)</f>
        <v>0</v>
      </c>
    </row>
    <row r="280" spans="4:23" customFormat="1" ht="21.75" hidden="1" customHeight="1" x14ac:dyDescent="0.25">
      <c r="D280" s="46"/>
      <c r="E280" s="62"/>
      <c r="F280" s="65"/>
      <c r="G280" s="62"/>
      <c r="H280" s="62"/>
      <c r="I280" s="62"/>
      <c r="J280" s="47"/>
      <c r="K280" s="46"/>
      <c r="L280" s="46"/>
      <c r="M280" s="4"/>
      <c r="N280" s="1"/>
      <c r="O280" s="14"/>
      <c r="P280" s="4"/>
      <c r="R280" s="4"/>
      <c r="V280" s="1"/>
    </row>
    <row r="281" spans="4:23" customFormat="1" ht="21.75" hidden="1" customHeight="1" x14ac:dyDescent="0.25">
      <c r="D281" s="46"/>
      <c r="E281" s="62"/>
      <c r="F281" s="65"/>
      <c r="G281" s="62"/>
      <c r="H281" s="62"/>
      <c r="I281" s="62"/>
      <c r="J281" s="47"/>
      <c r="K281" s="46"/>
      <c r="L281" s="46"/>
      <c r="M281" s="4"/>
      <c r="N281" s="1"/>
      <c r="O281" s="14"/>
      <c r="P281" s="4"/>
      <c r="R281" s="4"/>
    </row>
    <row r="282" spans="4:23" customFormat="1" ht="21.75" hidden="1" customHeight="1" x14ac:dyDescent="0.25">
      <c r="D282" s="46"/>
      <c r="E282" s="46"/>
      <c r="F282" s="65"/>
      <c r="G282" s="62"/>
      <c r="H282" s="62"/>
      <c r="I282" s="62"/>
      <c r="J282" s="47"/>
      <c r="K282" s="46"/>
      <c r="L282" s="46"/>
      <c r="M282" s="4"/>
      <c r="N282" s="1"/>
      <c r="O282" s="14"/>
      <c r="P282" s="4"/>
      <c r="R282" s="4"/>
    </row>
    <row r="283" spans="4:23" customFormat="1" ht="21.75" hidden="1" customHeight="1" x14ac:dyDescent="0.25">
      <c r="D283" s="46"/>
      <c r="E283" s="46"/>
      <c r="F283" s="65"/>
      <c r="G283" s="62"/>
      <c r="H283" s="62"/>
      <c r="I283" s="62"/>
      <c r="J283" s="47"/>
      <c r="K283" s="46"/>
      <c r="L283" s="46"/>
      <c r="M283" s="4"/>
      <c r="N283" s="1"/>
      <c r="O283" s="14"/>
      <c r="P283" s="4"/>
      <c r="Q283" s="28"/>
      <c r="R283" s="4"/>
      <c r="S283" s="14"/>
      <c r="T283" s="14"/>
      <c r="U283" s="14"/>
    </row>
    <row r="284" spans="4:23" customFormat="1" ht="21.75" hidden="1" customHeight="1" x14ac:dyDescent="0.25">
      <c r="D284" s="46"/>
      <c r="E284" s="46"/>
      <c r="F284" s="65"/>
      <c r="G284" s="62"/>
      <c r="H284" s="62"/>
      <c r="I284" s="62"/>
      <c r="J284" s="47"/>
      <c r="K284" s="46"/>
      <c r="L284" s="46"/>
      <c r="M284" s="4"/>
      <c r="N284" s="1"/>
      <c r="O284" s="11"/>
      <c r="P284" s="4"/>
      <c r="Q284" s="28"/>
      <c r="R284" s="4"/>
      <c r="S284" s="14"/>
      <c r="T284" s="14"/>
      <c r="U284" s="14"/>
    </row>
    <row r="285" spans="4:23" customFormat="1" ht="21.75" hidden="1" customHeight="1" x14ac:dyDescent="0.25">
      <c r="D285" s="46"/>
      <c r="E285" s="46"/>
      <c r="F285" s="65"/>
      <c r="G285" s="62"/>
      <c r="H285" s="62"/>
      <c r="I285" s="62"/>
      <c r="J285" s="47"/>
      <c r="K285" s="46"/>
      <c r="L285" s="46"/>
      <c r="M285" s="4"/>
      <c r="N285" s="1"/>
      <c r="O285" s="14"/>
      <c r="P285" s="4"/>
      <c r="Q285" s="28"/>
      <c r="R285" s="4"/>
      <c r="S285" s="14"/>
      <c r="T285" s="14"/>
      <c r="U285" s="14"/>
    </row>
    <row r="286" spans="4:23" customFormat="1" ht="21.75" hidden="1" customHeight="1" x14ac:dyDescent="0.25">
      <c r="D286" s="46"/>
      <c r="E286" s="46"/>
      <c r="F286" s="65"/>
      <c r="G286" s="62"/>
      <c r="H286" s="62"/>
      <c r="I286" s="62"/>
      <c r="J286" s="47"/>
      <c r="K286" s="46"/>
      <c r="L286" s="46"/>
      <c r="M286" s="4"/>
      <c r="N286" s="1"/>
      <c r="O286" s="14"/>
      <c r="P286" s="4"/>
      <c r="Q286" s="28"/>
      <c r="R286" s="4"/>
      <c r="S286" s="14"/>
      <c r="T286" s="14"/>
      <c r="U286" s="14"/>
    </row>
    <row r="287" spans="4:23" customFormat="1" ht="21.75" hidden="1" customHeight="1" x14ac:dyDescent="0.25">
      <c r="D287" s="46"/>
      <c r="E287" s="46"/>
      <c r="F287" s="65"/>
      <c r="G287" s="62"/>
      <c r="H287" s="62"/>
      <c r="I287" s="62"/>
      <c r="J287" s="47"/>
      <c r="K287" s="46"/>
      <c r="L287" s="46"/>
      <c r="M287" s="4"/>
      <c r="N287" s="1"/>
      <c r="O287" s="14"/>
      <c r="P287" s="4"/>
      <c r="Q287" s="28"/>
      <c r="R287" s="4"/>
      <c r="S287" s="14"/>
      <c r="T287" s="14"/>
      <c r="U287" s="14"/>
    </row>
    <row r="288" spans="4:23" customFormat="1" x14ac:dyDescent="0.25">
      <c r="D288" s="46"/>
      <c r="E288" s="46"/>
      <c r="F288" s="65"/>
      <c r="G288" s="62"/>
      <c r="H288" s="62"/>
      <c r="I288" s="62"/>
      <c r="J288" s="47"/>
      <c r="K288" s="46"/>
      <c r="L288" s="46"/>
      <c r="M288" s="4"/>
      <c r="N288" s="1"/>
      <c r="O288" s="14"/>
      <c r="P288" s="4"/>
      <c r="Q288" s="28"/>
      <c r="R288" s="4"/>
      <c r="S288" s="14"/>
      <c r="T288" s="14"/>
      <c r="U288" s="14"/>
    </row>
    <row r="289" spans="2:15" x14ac:dyDescent="0.25">
      <c r="B289"/>
    </row>
    <row r="290" spans="2:15" x14ac:dyDescent="0.25">
      <c r="B290"/>
    </row>
    <row r="291" spans="2:15" x14ac:dyDescent="0.25">
      <c r="B291"/>
    </row>
    <row r="292" spans="2:15" x14ac:dyDescent="0.25">
      <c r="B292"/>
    </row>
    <row r="293" spans="2:15" x14ac:dyDescent="0.25">
      <c r="B293"/>
    </row>
    <row r="294" spans="2:15" x14ac:dyDescent="0.25">
      <c r="B294"/>
      <c r="O294" s="11"/>
    </row>
    <row r="295" spans="2:15" x14ac:dyDescent="0.25">
      <c r="B295"/>
    </row>
    <row r="296" spans="2:15" x14ac:dyDescent="0.25">
      <c r="B296"/>
    </row>
    <row r="297" spans="2:15" x14ac:dyDescent="0.25">
      <c r="B297"/>
    </row>
    <row r="298" spans="2:15" x14ac:dyDescent="0.25">
      <c r="B298"/>
    </row>
  </sheetData>
  <mergeCells count="6">
    <mergeCell ref="F2:F3"/>
    <mergeCell ref="Q2:Q3"/>
    <mergeCell ref="S2:S3"/>
    <mergeCell ref="P2:P3"/>
    <mergeCell ref="T2:T3"/>
    <mergeCell ref="R2:R3"/>
  </mergeCells>
  <hyperlinks>
    <hyperlink ref="G171" r:id="rId1" xr:uid="{AF9A885A-FC67-4FCD-9301-B9D140ADFB56}"/>
    <hyperlink ref="G172" r:id="rId2" xr:uid="{121D6F98-A802-4591-BB8E-B61D040C88AC}"/>
    <hyperlink ref="G173" r:id="rId3" xr:uid="{627FF163-580E-45A1-9C31-9450BE908AED}"/>
  </hyperlinks>
  <pageMargins left="0.7" right="0.7" top="0.75" bottom="0.75" header="0.3" footer="0.3"/>
  <pageSetup orientation="portrait" horizontalDpi="4294967293" verticalDpi="300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STATEMEN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Knight</dc:creator>
  <cp:lastModifiedBy>Peter Knight</cp:lastModifiedBy>
  <dcterms:created xsi:type="dcterms:W3CDTF">2017-04-13T21:27:26Z</dcterms:created>
  <dcterms:modified xsi:type="dcterms:W3CDTF">2023-09-07T16:30:21Z</dcterms:modified>
</cp:coreProperties>
</file>