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! All Updates &amp; Videos\! 00 FXNC\"/>
    </mc:Choice>
  </mc:AlternateContent>
  <xr:revisionPtr revIDLastSave="0" documentId="13_ncr:1_{946185F6-496B-434A-93E8-F5B5F194322B}" xr6:coauthVersionLast="47" xr6:coauthVersionMax="47" xr10:uidLastSave="{00000000-0000-0000-0000-000000000000}"/>
  <bookViews>
    <workbookView xWindow="-225" yWindow="75" windowWidth="17445" windowHeight="15690" xr2:uid="{00000000-000D-0000-FFFF-FFFF00000000}"/>
  </bookViews>
  <sheets>
    <sheet name="June 2017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6" i="1" l="1"/>
  <c r="K177" i="1"/>
  <c r="K176" i="1"/>
  <c r="K16" i="1"/>
  <c r="K31" i="1"/>
  <c r="K46" i="1"/>
  <c r="K61" i="1"/>
  <c r="K76" i="1"/>
  <c r="K106" i="1"/>
  <c r="K121" i="1"/>
  <c r="K136" i="1"/>
  <c r="K151" i="1"/>
  <c r="K166" i="1"/>
  <c r="K172" i="1"/>
  <c r="S137" i="1"/>
  <c r="N137" i="1"/>
  <c r="P137" i="1" s="1"/>
  <c r="J170" i="1"/>
  <c r="F170" i="1"/>
  <c r="D170" i="1"/>
  <c r="S136" i="1"/>
  <c r="Q136" i="1" s="1"/>
  <c r="N136" i="1"/>
  <c r="P136" i="1" s="1"/>
  <c r="J169" i="1"/>
  <c r="H172" i="1"/>
  <c r="S135" i="1"/>
  <c r="Q135" i="1" s="1"/>
  <c r="N135" i="1"/>
  <c r="P135" i="1" s="1"/>
  <c r="J168" i="1"/>
  <c r="I195" i="1"/>
  <c r="S134" i="1"/>
  <c r="Q134" i="1" s="1"/>
  <c r="N134" i="1"/>
  <c r="P134" i="1" s="1"/>
  <c r="J164" i="1"/>
  <c r="H205" i="1"/>
  <c r="H206" i="1" s="1"/>
  <c r="S133" i="1"/>
  <c r="Q133" i="1" s="1"/>
  <c r="N133" i="1"/>
  <c r="P133" i="1" s="1"/>
  <c r="J163" i="1"/>
  <c r="H166" i="1"/>
  <c r="F168" i="1" s="1"/>
  <c r="S132" i="1"/>
  <c r="R132" i="1" s="1"/>
  <c r="N132" i="1"/>
  <c r="P132" i="1" s="1"/>
  <c r="A225" i="1"/>
  <c r="J162" i="1"/>
  <c r="Q131" i="1"/>
  <c r="S131" i="1"/>
  <c r="N131" i="1"/>
  <c r="P131" i="1" s="1"/>
  <c r="J161" i="1"/>
  <c r="S130" i="1"/>
  <c r="Q130" i="1" s="1"/>
  <c r="N130" i="1"/>
  <c r="P130" i="1" s="1"/>
  <c r="J160" i="1"/>
  <c r="Q137" i="1" l="1"/>
  <c r="O137" i="1"/>
  <c r="L172" i="1"/>
  <c r="H209" i="1"/>
  <c r="S129" i="1"/>
  <c r="Q129" i="1" s="1"/>
  <c r="N129" i="1"/>
  <c r="P129" i="1" s="1"/>
  <c r="J159" i="1"/>
  <c r="S128" i="1"/>
  <c r="Q128" i="1" s="1"/>
  <c r="N128" i="1"/>
  <c r="P128" i="1" s="1"/>
  <c r="J158" i="1"/>
  <c r="S127" i="1" l="1"/>
  <c r="R127" i="1" s="1"/>
  <c r="N127" i="1"/>
  <c r="P127" i="1" s="1"/>
  <c r="J157" i="1"/>
  <c r="D157" i="1"/>
  <c r="D162" i="1" s="1"/>
  <c r="S126" i="1"/>
  <c r="Q126" i="1" s="1"/>
  <c r="N126" i="1"/>
  <c r="P126" i="1" s="1"/>
  <c r="S125" i="1"/>
  <c r="Q125" i="1" s="1"/>
  <c r="N125" i="1"/>
  <c r="P125" i="1" s="1"/>
  <c r="J156" i="1"/>
  <c r="D156" i="1"/>
  <c r="D161" i="1" s="1"/>
  <c r="J155" i="1"/>
  <c r="D155" i="1"/>
  <c r="D160" i="1" s="1"/>
  <c r="D168" i="1" s="1"/>
  <c r="S124" i="1"/>
  <c r="R124" i="1" s="1"/>
  <c r="N124" i="1"/>
  <c r="P124" i="1" s="1"/>
  <c r="J154" i="1"/>
  <c r="S123" i="1"/>
  <c r="R123" i="1" s="1"/>
  <c r="N123" i="1"/>
  <c r="P123" i="1" s="1"/>
  <c r="M184" i="1"/>
  <c r="P122" i="1"/>
  <c r="P121" i="1"/>
  <c r="S122" i="1"/>
  <c r="R122" i="1" s="1"/>
  <c r="S121" i="1"/>
  <c r="Q121" i="1" s="1"/>
  <c r="J149" i="1"/>
  <c r="J148" i="1"/>
  <c r="S120" i="1"/>
  <c r="Q120" i="1" s="1"/>
  <c r="N120" i="1"/>
  <c r="P120" i="1" s="1"/>
  <c r="J147" i="1"/>
  <c r="S119" i="1"/>
  <c r="Q119" i="1" s="1"/>
  <c r="N119" i="1"/>
  <c r="P119" i="1" s="1"/>
  <c r="J146" i="1"/>
  <c r="S118" i="1"/>
  <c r="R118" i="1" s="1"/>
  <c r="N118" i="1"/>
  <c r="P118" i="1" s="1"/>
  <c r="J145" i="1"/>
  <c r="S117" i="1"/>
  <c r="Q117" i="1" s="1"/>
  <c r="N117" i="1"/>
  <c r="P117" i="1" s="1"/>
  <c r="J144" i="1"/>
  <c r="S116" i="1"/>
  <c r="Q116" i="1" s="1"/>
  <c r="N116" i="1"/>
  <c r="P116" i="1" s="1"/>
  <c r="J143" i="1"/>
  <c r="N115" i="1"/>
  <c r="P115" i="1" s="1"/>
  <c r="S115" i="1"/>
  <c r="Q115" i="1" s="1"/>
  <c r="J142" i="1"/>
  <c r="S114" i="1"/>
  <c r="R114" i="1" s="1"/>
  <c r="N114" i="1"/>
  <c r="P114" i="1" s="1"/>
  <c r="S113" i="1"/>
  <c r="Q113" i="1" s="1"/>
  <c r="N113" i="1"/>
  <c r="P113" i="1" s="1"/>
  <c r="J141" i="1"/>
  <c r="F141" i="1"/>
  <c r="F143" i="1" s="1"/>
  <c r="F145" i="1" s="1"/>
  <c r="F147" i="1" s="1"/>
  <c r="F149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9" i="1" s="1"/>
  <c r="D141" i="1"/>
  <c r="D143" i="1" s="1"/>
  <c r="D145" i="1" s="1"/>
  <c r="D147" i="1" s="1"/>
  <c r="D149" i="1" s="1"/>
  <c r="D153" i="1" s="1"/>
  <c r="D158" i="1" s="1"/>
  <c r="D163" i="1" s="1"/>
  <c r="C181" i="1"/>
  <c r="S112" i="1"/>
  <c r="Q112" i="1" s="1"/>
  <c r="N112" i="1"/>
  <c r="P112" i="1" s="1"/>
  <c r="J140" i="1"/>
  <c r="F140" i="1"/>
  <c r="F142" i="1" s="1"/>
  <c r="F144" i="1" s="1"/>
  <c r="F146" i="1" s="1"/>
  <c r="F148" i="1" s="1"/>
  <c r="D140" i="1"/>
  <c r="D142" i="1" s="1"/>
  <c r="D144" i="1" s="1"/>
  <c r="D146" i="1" s="1"/>
  <c r="D148" i="1" s="1"/>
  <c r="N111" i="1"/>
  <c r="P111" i="1" s="1"/>
  <c r="S111" i="1"/>
  <c r="R111" i="1" s="1"/>
  <c r="J139" i="1"/>
  <c r="F139" i="1"/>
  <c r="D139" i="1"/>
  <c r="S110" i="1"/>
  <c r="Q110" i="1" s="1"/>
  <c r="N110" i="1"/>
  <c r="P110" i="1" s="1"/>
  <c r="H151" i="1"/>
  <c r="J138" i="1"/>
  <c r="I138" i="1"/>
  <c r="C139" i="1" s="1"/>
  <c r="I139" i="1" s="1"/>
  <c r="C140" i="1" s="1"/>
  <c r="I140" i="1" s="1"/>
  <c r="C141" i="1" s="1"/>
  <c r="I141" i="1" s="1"/>
  <c r="C142" i="1" s="1"/>
  <c r="I142" i="1" s="1"/>
  <c r="C143" i="1" s="1"/>
  <c r="I143" i="1" s="1"/>
  <c r="C144" i="1" s="1"/>
  <c r="I144" i="1" s="1"/>
  <c r="C145" i="1" s="1"/>
  <c r="I145" i="1" s="1"/>
  <c r="C146" i="1" s="1"/>
  <c r="I146" i="1" s="1"/>
  <c r="C147" i="1" s="1"/>
  <c r="I147" i="1" s="1"/>
  <c r="C148" i="1" s="1"/>
  <c r="I148" i="1" s="1"/>
  <c r="C149" i="1" s="1"/>
  <c r="I149" i="1" s="1"/>
  <c r="D138" i="1"/>
  <c r="S109" i="1"/>
  <c r="R109" i="1" s="1"/>
  <c r="N109" i="1"/>
  <c r="P109" i="1" s="1"/>
  <c r="L166" i="1" l="1"/>
  <c r="D193" i="1"/>
  <c r="D154" i="1"/>
  <c r="D159" i="1" s="1"/>
  <c r="D164" i="1" s="1"/>
  <c r="D169" i="1" s="1"/>
  <c r="F153" i="1"/>
  <c r="J153" i="1"/>
  <c r="L151" i="1"/>
  <c r="N108" i="1"/>
  <c r="P108" i="1" s="1"/>
  <c r="S108" i="1"/>
  <c r="R108" i="1" s="1"/>
  <c r="E202" i="1"/>
  <c r="N107" i="1" l="1"/>
  <c r="P107" i="1" s="1"/>
  <c r="S107" i="1"/>
  <c r="R107" i="1" s="1"/>
  <c r="S106" i="1" l="1"/>
  <c r="Q106" i="1" s="1"/>
  <c r="N106" i="1"/>
  <c r="P106" i="1" s="1"/>
  <c r="N105" i="1" l="1"/>
  <c r="P105" i="1" s="1"/>
  <c r="N104" i="1" l="1"/>
  <c r="P104" i="1" s="1"/>
  <c r="H129" i="1"/>
  <c r="S105" i="1" s="1"/>
  <c r="Q105" i="1" s="1"/>
  <c r="S103" i="1" l="1"/>
  <c r="R103" i="1" s="1"/>
  <c r="N103" i="1"/>
  <c r="P103" i="1" s="1"/>
  <c r="H128" i="1"/>
  <c r="S104" i="1" s="1"/>
  <c r="Q104" i="1" s="1"/>
  <c r="S102" i="1" l="1"/>
  <c r="R102" i="1" s="1"/>
  <c r="N102" i="1"/>
  <c r="P102" i="1" s="1"/>
  <c r="S101" i="1" l="1"/>
  <c r="Q101" i="1" s="1"/>
  <c r="N101" i="1"/>
  <c r="P101" i="1" s="1"/>
  <c r="I324" i="1" l="1"/>
  <c r="S100" i="1" l="1"/>
  <c r="Q100" i="1" s="1"/>
  <c r="S99" i="1"/>
  <c r="P100" i="1"/>
  <c r="Q99" i="1" l="1"/>
  <c r="H136" i="1" l="1"/>
  <c r="F329" i="1" s="1"/>
  <c r="S98" i="1"/>
  <c r="Q98" i="1" s="1"/>
  <c r="E187" i="1" l="1"/>
  <c r="E184" i="1"/>
  <c r="L135" i="1"/>
  <c r="S97" i="1"/>
  <c r="Q97" i="1" s="1"/>
  <c r="J123" i="1"/>
  <c r="I123" i="1"/>
  <c r="H339" i="1"/>
  <c r="M335" i="1"/>
  <c r="M334" i="1"/>
  <c r="M339" i="1"/>
  <c r="I124" i="1" l="1"/>
  <c r="I125" i="1" s="1"/>
  <c r="I126" i="1" s="1"/>
  <c r="C124" i="1"/>
  <c r="J124" i="1"/>
  <c r="M337" i="1"/>
  <c r="M338" i="1" s="1"/>
  <c r="M340" i="1" s="1"/>
  <c r="S96" i="1"/>
  <c r="C127" i="1" l="1"/>
  <c r="J127" i="1"/>
  <c r="I127" i="1"/>
  <c r="C125" i="1"/>
  <c r="J125" i="1"/>
  <c r="R96" i="1"/>
  <c r="S95" i="1"/>
  <c r="R95" i="1" s="1"/>
  <c r="S94" i="1"/>
  <c r="R94" i="1" s="1"/>
  <c r="S93" i="1"/>
  <c r="C128" i="1" l="1"/>
  <c r="J128" i="1"/>
  <c r="I128" i="1"/>
  <c r="J126" i="1"/>
  <c r="C126" i="1"/>
  <c r="P550" i="1"/>
  <c r="P540" i="1"/>
  <c r="P538" i="1"/>
  <c r="P536" i="1"/>
  <c r="P534" i="1"/>
  <c r="P532" i="1"/>
  <c r="P526" i="1"/>
  <c r="P520" i="1"/>
  <c r="P518" i="1"/>
  <c r="P514" i="1"/>
  <c r="P512" i="1"/>
  <c r="P510" i="1"/>
  <c r="P508" i="1"/>
  <c r="P501" i="1"/>
  <c r="P495" i="1"/>
  <c r="C129" i="1" l="1"/>
  <c r="I129" i="1"/>
  <c r="J129" i="1"/>
  <c r="Q93" i="1"/>
  <c r="S92" i="1"/>
  <c r="Q92" i="1" s="1"/>
  <c r="S91" i="1"/>
  <c r="R91" i="1" s="1"/>
  <c r="S90" i="1"/>
  <c r="Q90" i="1" s="1"/>
  <c r="S89" i="1"/>
  <c r="Q89" i="1" s="1"/>
  <c r="S88" i="1"/>
  <c r="Q88" i="1" s="1"/>
  <c r="S87" i="1"/>
  <c r="Q87" i="1" s="1"/>
  <c r="S86" i="1"/>
  <c r="Q86" i="1" s="1"/>
  <c r="S85" i="1"/>
  <c r="Q85" i="1" s="1"/>
  <c r="S84" i="1"/>
  <c r="Q84" i="1" s="1"/>
  <c r="N554" i="1"/>
  <c r="N544" i="1"/>
  <c r="N542" i="1"/>
  <c r="N540" i="1"/>
  <c r="N538" i="1"/>
  <c r="N536" i="1"/>
  <c r="N530" i="1"/>
  <c r="N524" i="1"/>
  <c r="N522" i="1"/>
  <c r="N518" i="1"/>
  <c r="N516" i="1"/>
  <c r="N514" i="1"/>
  <c r="N512" i="1"/>
  <c r="N505" i="1"/>
  <c r="N499" i="1"/>
  <c r="I130" i="1" l="1"/>
  <c r="C130" i="1"/>
  <c r="J130" i="1"/>
  <c r="D109" i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J131" i="1" l="1"/>
  <c r="C131" i="1"/>
  <c r="I131" i="1"/>
  <c r="F109" i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D391" i="1"/>
  <c r="D390" i="1"/>
  <c r="D383" i="1"/>
  <c r="D382" i="1"/>
  <c r="D375" i="1"/>
  <c r="D377" i="1" s="1"/>
  <c r="F377" i="1" s="1"/>
  <c r="J108" i="1"/>
  <c r="J132" i="1" l="1"/>
  <c r="I132" i="1"/>
  <c r="C132" i="1"/>
  <c r="D384" i="1"/>
  <c r="D385" i="1" s="1"/>
  <c r="D387" i="1" s="1"/>
  <c r="F387" i="1" s="1"/>
  <c r="D392" i="1"/>
  <c r="D393" i="1" s="1"/>
  <c r="D395" i="1" s="1"/>
  <c r="F395" i="1" s="1"/>
  <c r="I108" i="1"/>
  <c r="C109" i="1" s="1"/>
  <c r="C18" i="1"/>
  <c r="C33" i="1" s="1"/>
  <c r="C48" i="1" s="1"/>
  <c r="C63" i="1" s="1"/>
  <c r="C78" i="1" s="1"/>
  <c r="C93" i="1" s="1"/>
  <c r="C108" i="1" s="1"/>
  <c r="C123" i="1" s="1"/>
  <c r="J136" i="1" l="1"/>
  <c r="F330" i="1" s="1"/>
  <c r="C138" i="1"/>
  <c r="J166" i="1" s="1"/>
  <c r="J133" i="1"/>
  <c r="I133" i="1"/>
  <c r="C133" i="1"/>
  <c r="F396" i="1"/>
  <c r="I109" i="1"/>
  <c r="C110" i="1" s="1"/>
  <c r="J109" i="1"/>
  <c r="F102" i="1"/>
  <c r="F103" i="1" s="1"/>
  <c r="F104" i="1" s="1"/>
  <c r="D102" i="1"/>
  <c r="D103" i="1" s="1"/>
  <c r="D104" i="1" s="1"/>
  <c r="C153" i="1" l="1"/>
  <c r="J151" i="1"/>
  <c r="G189" i="1"/>
  <c r="J134" i="1"/>
  <c r="I134" i="1"/>
  <c r="F138" i="1" s="1"/>
  <c r="C134" i="1"/>
  <c r="J110" i="1"/>
  <c r="I110" i="1"/>
  <c r="C111" i="1" s="1"/>
  <c r="H8" i="1"/>
  <c r="S8" i="1" s="1"/>
  <c r="Q8" i="1" s="1"/>
  <c r="H12" i="1"/>
  <c r="S12" i="1" s="1"/>
  <c r="Q12" i="1" s="1"/>
  <c r="H9" i="1"/>
  <c r="S9" i="1" s="1"/>
  <c r="R9" i="1" s="1"/>
  <c r="H6" i="1"/>
  <c r="I153" i="1" l="1"/>
  <c r="C154" i="1" s="1"/>
  <c r="I154" i="1" s="1"/>
  <c r="C155" i="1" s="1"/>
  <c r="I155" i="1" s="1"/>
  <c r="C156" i="1" s="1"/>
  <c r="I156" i="1" s="1"/>
  <c r="C157" i="1" s="1"/>
  <c r="I157" i="1" s="1"/>
  <c r="C158" i="1" s="1"/>
  <c r="I158" i="1" s="1"/>
  <c r="C159" i="1" s="1"/>
  <c r="I159" i="1" s="1"/>
  <c r="C160" i="1" s="1"/>
  <c r="I160" i="1" s="1"/>
  <c r="C161" i="1" s="1"/>
  <c r="I161" i="1" s="1"/>
  <c r="C162" i="1" s="1"/>
  <c r="I162" i="1" s="1"/>
  <c r="C163" i="1" s="1"/>
  <c r="I163" i="1" s="1"/>
  <c r="C164" i="1" s="1"/>
  <c r="I164" i="1" s="1"/>
  <c r="C168" i="1"/>
  <c r="J172" i="1" s="1"/>
  <c r="J6" i="1"/>
  <c r="S6" i="1"/>
  <c r="J111" i="1"/>
  <c r="I111" i="1"/>
  <c r="C112" i="1" s="1"/>
  <c r="I6" i="1"/>
  <c r="H35" i="1"/>
  <c r="S29" i="1" s="1"/>
  <c r="R29" i="1" s="1"/>
  <c r="H38" i="1"/>
  <c r="S32" i="1" s="1"/>
  <c r="R32" i="1" s="1"/>
  <c r="H44" i="1"/>
  <c r="S38" i="1" s="1"/>
  <c r="R38" i="1" s="1"/>
  <c r="H37" i="1"/>
  <c r="S31" i="1" s="1"/>
  <c r="R31" i="1" s="1"/>
  <c r="H55" i="1"/>
  <c r="S46" i="1" s="1"/>
  <c r="R46" i="1" s="1"/>
  <c r="H65" i="1"/>
  <c r="S53" i="1" s="1"/>
  <c r="R53" i="1" s="1"/>
  <c r="H94" i="1"/>
  <c r="S76" i="1" s="1"/>
  <c r="R76" i="1" s="1"/>
  <c r="H99" i="1"/>
  <c r="S81" i="1" s="1"/>
  <c r="R81" i="1" s="1"/>
  <c r="H93" i="1"/>
  <c r="H63" i="1"/>
  <c r="H24" i="1"/>
  <c r="S21" i="1" s="1"/>
  <c r="Q21" i="1" s="1"/>
  <c r="H21" i="1"/>
  <c r="S18" i="1" s="1"/>
  <c r="R18" i="1" s="1"/>
  <c r="H22" i="1"/>
  <c r="S19" i="1" s="1"/>
  <c r="Q19" i="1" s="1"/>
  <c r="H7" i="1"/>
  <c r="S7" i="1" s="1"/>
  <c r="Q7" i="1" s="1"/>
  <c r="H13" i="1"/>
  <c r="S13" i="1" s="1"/>
  <c r="Q13" i="1" s="1"/>
  <c r="H11" i="1"/>
  <c r="S11" i="1" s="1"/>
  <c r="R11" i="1" s="1"/>
  <c r="H43" i="1"/>
  <c r="S37" i="1" s="1"/>
  <c r="Q37" i="1" s="1"/>
  <c r="H100" i="1"/>
  <c r="S82" i="1" s="1"/>
  <c r="Q82" i="1" s="1"/>
  <c r="H67" i="1"/>
  <c r="S55" i="1" s="1"/>
  <c r="R55" i="1" s="1"/>
  <c r="H101" i="1"/>
  <c r="S83" i="1" s="1"/>
  <c r="Q83" i="1" s="1"/>
  <c r="H98" i="1"/>
  <c r="S80" i="1" s="1"/>
  <c r="Q80" i="1" s="1"/>
  <c r="H97" i="1"/>
  <c r="S79" i="1" s="1"/>
  <c r="Q79" i="1" s="1"/>
  <c r="H96" i="1"/>
  <c r="S78" i="1" s="1"/>
  <c r="Q78" i="1" s="1"/>
  <c r="H95" i="1"/>
  <c r="S77" i="1" s="1"/>
  <c r="R77" i="1" s="1"/>
  <c r="H88" i="1"/>
  <c r="S73" i="1" s="1"/>
  <c r="R73" i="1" s="1"/>
  <c r="H87" i="1"/>
  <c r="S72" i="1" s="1"/>
  <c r="R72" i="1" s="1"/>
  <c r="H81" i="1"/>
  <c r="S66" i="1" s="1"/>
  <c r="R66" i="1" s="1"/>
  <c r="H89" i="1"/>
  <c r="S74" i="1" s="1"/>
  <c r="R74" i="1" s="1"/>
  <c r="H86" i="1"/>
  <c r="S71" i="1" s="1"/>
  <c r="Q71" i="1" s="1"/>
  <c r="H85" i="1"/>
  <c r="S70" i="1" s="1"/>
  <c r="Q70" i="1" s="1"/>
  <c r="H84" i="1"/>
  <c r="S69" i="1" s="1"/>
  <c r="Q69" i="1" s="1"/>
  <c r="H83" i="1"/>
  <c r="S68" i="1" s="1"/>
  <c r="Q68" i="1" s="1"/>
  <c r="H82" i="1"/>
  <c r="S67" i="1" s="1"/>
  <c r="Q67" i="1" s="1"/>
  <c r="H80" i="1"/>
  <c r="S65" i="1" s="1"/>
  <c r="Q65" i="1" s="1"/>
  <c r="H79" i="1"/>
  <c r="S64" i="1" s="1"/>
  <c r="R64" i="1" s="1"/>
  <c r="H78" i="1"/>
  <c r="H74" i="1"/>
  <c r="S62" i="1" s="1"/>
  <c r="R62" i="1" s="1"/>
  <c r="H73" i="1"/>
  <c r="S61" i="1" s="1"/>
  <c r="R61" i="1" s="1"/>
  <c r="H72" i="1"/>
  <c r="S60" i="1" s="1"/>
  <c r="Q60" i="1" s="1"/>
  <c r="H71" i="1"/>
  <c r="S59" i="1" s="1"/>
  <c r="R59" i="1" s="1"/>
  <c r="H70" i="1"/>
  <c r="S58" i="1" s="1"/>
  <c r="Q58" i="1" s="1"/>
  <c r="H69" i="1"/>
  <c r="S57" i="1" s="1"/>
  <c r="Q57" i="1" s="1"/>
  <c r="H68" i="1"/>
  <c r="S56" i="1" s="1"/>
  <c r="Q56" i="1" s="1"/>
  <c r="H66" i="1"/>
  <c r="S54" i="1" s="1"/>
  <c r="Q54" i="1" s="1"/>
  <c r="H64" i="1"/>
  <c r="S52" i="1" s="1"/>
  <c r="Q52" i="1" s="1"/>
  <c r="H53" i="1"/>
  <c r="S44" i="1" s="1"/>
  <c r="Q44" i="1" s="1"/>
  <c r="H57" i="1"/>
  <c r="S48" i="1" s="1"/>
  <c r="R48" i="1" s="1"/>
  <c r="H59" i="1"/>
  <c r="S50" i="1" s="1"/>
  <c r="R50" i="1" s="1"/>
  <c r="H58" i="1"/>
  <c r="S49" i="1" s="1"/>
  <c r="Q49" i="1" s="1"/>
  <c r="H56" i="1"/>
  <c r="S47" i="1" s="1"/>
  <c r="R47" i="1" s="1"/>
  <c r="H49" i="1"/>
  <c r="S40" i="1" s="1"/>
  <c r="Q40" i="1" s="1"/>
  <c r="H50" i="1"/>
  <c r="S41" i="1" s="1"/>
  <c r="Q41" i="1" s="1"/>
  <c r="H51" i="1"/>
  <c r="S42" i="1" s="1"/>
  <c r="Q42" i="1" s="1"/>
  <c r="H52" i="1"/>
  <c r="S43" i="1" s="1"/>
  <c r="R43" i="1" s="1"/>
  <c r="H54" i="1"/>
  <c r="S45" i="1" s="1"/>
  <c r="R45" i="1" s="1"/>
  <c r="H48" i="1"/>
  <c r="H39" i="1"/>
  <c r="S33" i="1" s="1"/>
  <c r="R33" i="1" s="1"/>
  <c r="H42" i="1"/>
  <c r="S36" i="1" s="1"/>
  <c r="Q36" i="1" s="1"/>
  <c r="H41" i="1"/>
  <c r="S35" i="1" s="1"/>
  <c r="Q35" i="1" s="1"/>
  <c r="H40" i="1"/>
  <c r="S34" i="1" s="1"/>
  <c r="R34" i="1" s="1"/>
  <c r="H36" i="1"/>
  <c r="S30" i="1" s="1"/>
  <c r="Q30" i="1" s="1"/>
  <c r="H34" i="1"/>
  <c r="S28" i="1" s="1"/>
  <c r="Q28" i="1" s="1"/>
  <c r="H33" i="1"/>
  <c r="H29" i="1"/>
  <c r="S26" i="1" s="1"/>
  <c r="R26" i="1" s="1"/>
  <c r="H28" i="1"/>
  <c r="S25" i="1" s="1"/>
  <c r="Q25" i="1" s="1"/>
  <c r="H27" i="1"/>
  <c r="S24" i="1" s="1"/>
  <c r="R24" i="1" s="1"/>
  <c r="H26" i="1"/>
  <c r="S23" i="1" s="1"/>
  <c r="Q23" i="1" s="1"/>
  <c r="H25" i="1"/>
  <c r="S22" i="1" s="1"/>
  <c r="Q22" i="1" s="1"/>
  <c r="H23" i="1"/>
  <c r="S20" i="1" s="1"/>
  <c r="Q20" i="1" s="1"/>
  <c r="H20" i="1"/>
  <c r="S17" i="1" s="1"/>
  <c r="Q17" i="1" s="1"/>
  <c r="H19" i="1"/>
  <c r="S16" i="1" s="1"/>
  <c r="Q16" i="1" s="1"/>
  <c r="H18" i="1"/>
  <c r="H14" i="1"/>
  <c r="S14" i="1" s="1"/>
  <c r="R14" i="1" s="1"/>
  <c r="H10" i="1"/>
  <c r="S10" i="1" s="1"/>
  <c r="Q10" i="1" s="1"/>
  <c r="I168" i="1" l="1"/>
  <c r="C169" i="1" s="1"/>
  <c r="I169" i="1" s="1"/>
  <c r="C170" i="1" s="1"/>
  <c r="I170" i="1" s="1"/>
  <c r="O6" i="1"/>
  <c r="O7" i="1" s="1"/>
  <c r="O8" i="1" s="1"/>
  <c r="O9" i="1" s="1"/>
  <c r="O10" i="1" s="1"/>
  <c r="O11" i="1" s="1"/>
  <c r="O12" i="1" s="1"/>
  <c r="O13" i="1" s="1"/>
  <c r="O14" i="1" s="1"/>
  <c r="R6" i="1"/>
  <c r="I63" i="1"/>
  <c r="S51" i="1"/>
  <c r="R51" i="1" s="1"/>
  <c r="J93" i="1"/>
  <c r="S75" i="1"/>
  <c r="Q75" i="1" s="1"/>
  <c r="I48" i="1"/>
  <c r="S39" i="1"/>
  <c r="Q39" i="1" s="1"/>
  <c r="I33" i="1"/>
  <c r="S27" i="1"/>
  <c r="Q27" i="1" s="1"/>
  <c r="I18" i="1"/>
  <c r="S15" i="1"/>
  <c r="Q15" i="1" s="1"/>
  <c r="I78" i="1"/>
  <c r="S63" i="1"/>
  <c r="Q63" i="1" s="1"/>
  <c r="I112" i="1"/>
  <c r="C113" i="1" s="1"/>
  <c r="J112" i="1"/>
  <c r="H31" i="1"/>
  <c r="J31" i="1" s="1"/>
  <c r="I93" i="1"/>
  <c r="H106" i="1"/>
  <c r="F108" i="1" s="1"/>
  <c r="H91" i="1"/>
  <c r="J91" i="1" s="1"/>
  <c r="H76" i="1"/>
  <c r="J76" i="1" s="1"/>
  <c r="H61" i="1"/>
  <c r="J61" i="1" s="1"/>
  <c r="H46" i="1"/>
  <c r="J46" i="1" s="1"/>
  <c r="H16" i="1"/>
  <c r="J16" i="1" s="1"/>
  <c r="O15" i="1" l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J113" i="1"/>
  <c r="I113" i="1"/>
  <c r="C114" i="1" s="1"/>
  <c r="J106" i="1"/>
  <c r="O96" i="1" l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J114" i="1"/>
  <c r="I114" i="1"/>
  <c r="C115" i="1" s="1"/>
  <c r="O110" i="1" l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F63" i="1"/>
  <c r="F93" i="1"/>
  <c r="F48" i="1"/>
  <c r="F33" i="1"/>
  <c r="F78" i="1"/>
  <c r="F18" i="1" l="1"/>
  <c r="D663" i="1" l="1"/>
  <c r="L476" i="1" l="1"/>
  <c r="F651" i="1"/>
  <c r="J78" i="1"/>
  <c r="J48" i="1" l="1"/>
  <c r="L76" i="1"/>
  <c r="L16" i="1"/>
  <c r="J18" i="1"/>
  <c r="J33" i="1"/>
  <c r="L31" i="1"/>
  <c r="L46" i="1"/>
  <c r="L61" i="1"/>
  <c r="E650" i="1"/>
  <c r="M645" i="1"/>
  <c r="M644" i="1"/>
  <c r="M643" i="1"/>
  <c r="M642" i="1"/>
  <c r="M641" i="1"/>
  <c r="M638" i="1"/>
  <c r="M637" i="1"/>
  <c r="M636" i="1"/>
  <c r="M632" i="1"/>
  <c r="M631" i="1"/>
  <c r="M630" i="1"/>
  <c r="M629" i="1"/>
  <c r="M628" i="1"/>
  <c r="M623" i="1"/>
  <c r="M622" i="1"/>
  <c r="M621" i="1"/>
  <c r="M620" i="1"/>
  <c r="M619" i="1"/>
  <c r="M618" i="1"/>
  <c r="M612" i="1"/>
  <c r="M611" i="1"/>
  <c r="M610" i="1"/>
  <c r="G635" i="1"/>
  <c r="G627" i="1"/>
  <c r="G631" i="1"/>
  <c r="I616" i="1"/>
  <c r="E619" i="1"/>
  <c r="M646" i="1" l="1"/>
  <c r="M624" i="1"/>
  <c r="M633" i="1"/>
  <c r="G619" i="1"/>
  <c r="I618" i="1" s="1"/>
  <c r="F620" i="1"/>
  <c r="F621" i="1" s="1"/>
  <c r="M639" i="1"/>
  <c r="E620" i="1"/>
  <c r="M613" i="1"/>
  <c r="J599" i="1"/>
  <c r="D599" i="1"/>
  <c r="G598" i="1" s="1"/>
  <c r="D597" i="1"/>
  <c r="G596" i="1" s="1"/>
  <c r="D595" i="1"/>
  <c r="G594" i="1" s="1"/>
  <c r="D591" i="1"/>
  <c r="G590" i="1" s="1"/>
  <c r="I589" i="1" s="1"/>
  <c r="B591" i="1"/>
  <c r="D593" i="1" s="1"/>
  <c r="G592" i="1" s="1"/>
  <c r="I591" i="1" s="1"/>
  <c r="J583" i="1"/>
  <c r="B581" i="1"/>
  <c r="D583" i="1" s="1"/>
  <c r="G582" i="1" s="1"/>
  <c r="I581" i="1" s="1"/>
  <c r="B579" i="1"/>
  <c r="D581" i="1" s="1"/>
  <c r="G580" i="1" s="1"/>
  <c r="I579" i="1" s="1"/>
  <c r="B577" i="1"/>
  <c r="D579" i="1" s="1"/>
  <c r="G578" i="1" s="1"/>
  <c r="I577" i="1" s="1"/>
  <c r="B575" i="1"/>
  <c r="D577" i="1" s="1"/>
  <c r="G576" i="1" s="1"/>
  <c r="J569" i="1"/>
  <c r="D567" i="1"/>
  <c r="G566" i="1" s="1"/>
  <c r="D565" i="1"/>
  <c r="G564" i="1" s="1"/>
  <c r="B567" i="1"/>
  <c r="D569" i="1" s="1"/>
  <c r="G568" i="1" s="1"/>
  <c r="B561" i="1"/>
  <c r="D563" i="1" s="1"/>
  <c r="G562" i="1" s="1"/>
  <c r="B573" i="1"/>
  <c r="B559" i="1"/>
  <c r="D561" i="1" s="1"/>
  <c r="G560" i="1" s="1"/>
  <c r="G574" i="1"/>
  <c r="I573" i="1" s="1"/>
  <c r="J557" i="1"/>
  <c r="G556" i="1"/>
  <c r="G552" i="1"/>
  <c r="B555" i="1"/>
  <c r="B553" i="1"/>
  <c r="D555" i="1" s="1"/>
  <c r="G554" i="1" s="1"/>
  <c r="B551" i="1"/>
  <c r="G550" i="1"/>
  <c r="I549" i="1" s="1"/>
  <c r="D549" i="1"/>
  <c r="G548" i="1" s="1"/>
  <c r="B549" i="1"/>
  <c r="I543" i="1"/>
  <c r="D542" i="1"/>
  <c r="D536" i="1"/>
  <c r="B542" i="1"/>
  <c r="D544" i="1" s="1"/>
  <c r="B536" i="1"/>
  <c r="D538" i="1" s="1"/>
  <c r="G621" i="1" l="1"/>
  <c r="G569" i="1"/>
  <c r="I568" i="1" s="1"/>
  <c r="D606" i="1" s="1"/>
  <c r="I620" i="1"/>
  <c r="J619" i="1"/>
  <c r="I621" i="1"/>
  <c r="G583" i="1"/>
  <c r="I575" i="1"/>
  <c r="I582" i="1" s="1"/>
  <c r="G599" i="1"/>
  <c r="I598" i="1" s="1"/>
  <c r="G557" i="1"/>
  <c r="I556" i="1" s="1"/>
  <c r="I547" i="1"/>
  <c r="D545" i="1"/>
  <c r="E544" i="1" s="1"/>
  <c r="I559" i="1"/>
  <c r="G544" i="1" l="1"/>
  <c r="J544" i="1" s="1"/>
  <c r="D604" i="1" s="1"/>
  <c r="D609" i="1" s="1"/>
  <c r="F545" i="1"/>
  <c r="J621" i="1"/>
  <c r="J623" i="1"/>
  <c r="D494" i="1"/>
  <c r="D510" i="1"/>
  <c r="D526" i="1"/>
  <c r="D518" i="1"/>
  <c r="D502" i="1"/>
  <c r="I474" i="1"/>
  <c r="D476" i="1"/>
  <c r="I475" i="1" l="1"/>
  <c r="D527" i="1"/>
  <c r="J63" i="1" l="1"/>
  <c r="M276" i="1"/>
  <c r="M263" i="1" l="1"/>
  <c r="M248" i="1" l="1"/>
  <c r="M281" i="1" l="1"/>
  <c r="C19" i="1" l="1"/>
  <c r="J19" i="1"/>
  <c r="I19" i="1"/>
  <c r="C49" i="1" l="1"/>
  <c r="I49" i="1"/>
  <c r="J49" i="1"/>
  <c r="J50" i="1" l="1"/>
  <c r="I50" i="1"/>
  <c r="C50" i="1"/>
  <c r="I64" i="1"/>
  <c r="J64" i="1"/>
  <c r="C64" i="1"/>
  <c r="J34" i="1"/>
  <c r="C34" i="1"/>
  <c r="J51" i="1" l="1"/>
  <c r="I51" i="1"/>
  <c r="C51" i="1"/>
  <c r="C20" i="1"/>
  <c r="I20" i="1"/>
  <c r="C21" i="1" s="1"/>
  <c r="J20" i="1"/>
  <c r="J21" i="1" l="1"/>
  <c r="I21" i="1"/>
  <c r="I22" i="1" s="1"/>
  <c r="C22" i="1" l="1"/>
  <c r="J22" i="1"/>
  <c r="J65" i="1"/>
  <c r="I65" i="1"/>
  <c r="C65" i="1"/>
  <c r="J66" i="1" l="1"/>
  <c r="I66" i="1"/>
  <c r="C66" i="1"/>
  <c r="J23" i="1" l="1"/>
  <c r="I23" i="1"/>
  <c r="C23" i="1"/>
  <c r="J24" i="1" l="1"/>
  <c r="C24" i="1"/>
  <c r="I24" i="1"/>
  <c r="J25" i="1" l="1"/>
  <c r="C25" i="1"/>
  <c r="I25" i="1"/>
  <c r="C26" i="1" l="1"/>
  <c r="J26" i="1"/>
  <c r="I26" i="1"/>
  <c r="I27" i="1" l="1"/>
  <c r="J27" i="1"/>
  <c r="C27" i="1"/>
  <c r="C79" i="1"/>
  <c r="I79" i="1"/>
  <c r="J79" i="1"/>
  <c r="C28" i="1" l="1"/>
  <c r="J28" i="1"/>
  <c r="I28" i="1"/>
  <c r="J80" i="1"/>
  <c r="I80" i="1"/>
  <c r="C80" i="1"/>
  <c r="J52" i="1"/>
  <c r="C52" i="1"/>
  <c r="I52" i="1"/>
  <c r="J81" i="1" l="1"/>
  <c r="I81" i="1"/>
  <c r="C81" i="1"/>
  <c r="I53" i="1"/>
  <c r="C53" i="1"/>
  <c r="J53" i="1"/>
  <c r="J94" i="1"/>
  <c r="I94" i="1"/>
  <c r="C94" i="1"/>
  <c r="C82" i="1" l="1"/>
  <c r="I82" i="1"/>
  <c r="J82" i="1"/>
  <c r="I95" i="1"/>
  <c r="J95" i="1"/>
  <c r="C95" i="1"/>
  <c r="J96" i="1" l="1"/>
  <c r="I96" i="1"/>
  <c r="C96" i="1"/>
  <c r="C83" i="1"/>
  <c r="I83" i="1"/>
  <c r="J83" i="1"/>
  <c r="I97" i="1" l="1"/>
  <c r="J97" i="1"/>
  <c r="C97" i="1"/>
  <c r="C84" i="1"/>
  <c r="J84" i="1"/>
  <c r="I84" i="1"/>
  <c r="I29" i="1"/>
  <c r="J29" i="1"/>
  <c r="C29" i="1"/>
  <c r="C98" i="1" l="1"/>
  <c r="J98" i="1"/>
  <c r="I98" i="1"/>
  <c r="C85" i="1"/>
  <c r="I85" i="1"/>
  <c r="J85" i="1"/>
  <c r="C54" i="1"/>
  <c r="J54" i="1"/>
  <c r="I54" i="1"/>
  <c r="I99" i="1" l="1"/>
  <c r="C99" i="1"/>
  <c r="J99" i="1"/>
  <c r="I86" i="1"/>
  <c r="J86" i="1"/>
  <c r="C86" i="1"/>
  <c r="I55" i="1"/>
  <c r="J55" i="1"/>
  <c r="C55" i="1"/>
  <c r="I100" i="1" l="1"/>
  <c r="C100" i="1"/>
  <c r="J100" i="1"/>
  <c r="I56" i="1"/>
  <c r="C56" i="1"/>
  <c r="J56" i="1"/>
  <c r="J87" i="1"/>
  <c r="C87" i="1"/>
  <c r="I87" i="1"/>
  <c r="I101" i="1" l="1"/>
  <c r="C101" i="1"/>
  <c r="J101" i="1" s="1"/>
  <c r="J57" i="1"/>
  <c r="I57" i="1"/>
  <c r="C57" i="1"/>
  <c r="J88" i="1"/>
  <c r="I88" i="1"/>
  <c r="C88" i="1"/>
  <c r="C102" i="1" l="1"/>
  <c r="J102" i="1" s="1"/>
  <c r="I102" i="1"/>
  <c r="I89" i="1"/>
  <c r="J89" i="1"/>
  <c r="C89" i="1"/>
  <c r="I58" i="1"/>
  <c r="J59" i="1" s="1"/>
  <c r="J58" i="1"/>
  <c r="C58" i="1"/>
  <c r="I103" i="1" l="1"/>
  <c r="C103" i="1"/>
  <c r="J103" i="1" s="1"/>
  <c r="C59" i="1"/>
  <c r="I59" i="1"/>
  <c r="I104" i="1" l="1"/>
  <c r="C104" i="1"/>
  <c r="J104" i="1" s="1"/>
  <c r="J7" i="1"/>
  <c r="I34" i="1"/>
  <c r="I67" i="1"/>
  <c r="C67" i="1"/>
  <c r="J67" i="1"/>
  <c r="G106" i="1"/>
  <c r="G91" i="1"/>
  <c r="E93" i="1" s="1"/>
  <c r="L91" i="1"/>
  <c r="G121" i="1" l="1"/>
  <c r="E123" i="1" s="1"/>
  <c r="E108" i="1"/>
  <c r="I7" i="1"/>
  <c r="I8" i="1" s="1"/>
  <c r="C7" i="1"/>
  <c r="L106" i="1"/>
  <c r="J35" i="1"/>
  <c r="C35" i="1"/>
  <c r="I35" i="1"/>
  <c r="J68" i="1"/>
  <c r="I68" i="1"/>
  <c r="C68" i="1"/>
  <c r="G136" i="1" l="1"/>
  <c r="J8" i="1"/>
  <c r="C8" i="1"/>
  <c r="J69" i="1"/>
  <c r="I69" i="1"/>
  <c r="C69" i="1"/>
  <c r="C9" i="1"/>
  <c r="J9" i="1"/>
  <c r="I9" i="1"/>
  <c r="C36" i="1"/>
  <c r="I36" i="1"/>
  <c r="J36" i="1"/>
  <c r="I37" i="1" l="1"/>
  <c r="J37" i="1"/>
  <c r="C37" i="1"/>
  <c r="J70" i="1"/>
  <c r="C70" i="1"/>
  <c r="I70" i="1"/>
  <c r="I10" i="1"/>
  <c r="J10" i="1"/>
  <c r="C10" i="1"/>
  <c r="J38" i="1" l="1"/>
  <c r="C38" i="1"/>
  <c r="I38" i="1"/>
  <c r="J11" i="1"/>
  <c r="C11" i="1"/>
  <c r="I11" i="1"/>
  <c r="I71" i="1"/>
  <c r="C71" i="1"/>
  <c r="J71" i="1"/>
  <c r="I39" i="1" l="1"/>
  <c r="C39" i="1"/>
  <c r="J39" i="1"/>
  <c r="I72" i="1"/>
  <c r="C72" i="1"/>
  <c r="J72" i="1"/>
  <c r="C12" i="1"/>
  <c r="J12" i="1"/>
  <c r="I12" i="1"/>
  <c r="J40" i="1" l="1"/>
  <c r="I40" i="1"/>
  <c r="C40" i="1"/>
  <c r="C13" i="1"/>
  <c r="J13" i="1"/>
  <c r="I13" i="1"/>
  <c r="C73" i="1"/>
  <c r="J73" i="1"/>
  <c r="I73" i="1"/>
  <c r="I74" i="1" l="1"/>
  <c r="C74" i="1"/>
  <c r="J74" i="1"/>
  <c r="C41" i="1"/>
  <c r="I41" i="1"/>
  <c r="J41" i="1"/>
  <c r="C14" i="1"/>
  <c r="J14" i="1"/>
  <c r="I14" i="1"/>
  <c r="C42" i="1" l="1"/>
  <c r="I42" i="1"/>
  <c r="J42" i="1"/>
  <c r="I43" i="1" l="1"/>
  <c r="J43" i="1"/>
  <c r="C43" i="1"/>
  <c r="J44" i="1" l="1"/>
  <c r="I44" i="1"/>
  <c r="C44" i="1"/>
  <c r="H121" i="1" l="1"/>
  <c r="F123" i="1" l="1"/>
  <c r="L121" i="1"/>
  <c r="L182" i="1" s="1"/>
  <c r="J121" i="1"/>
  <c r="I115" i="1"/>
  <c r="C116" i="1" s="1"/>
  <c r="J115" i="1"/>
  <c r="J116" i="1" l="1"/>
  <c r="I116" i="1"/>
  <c r="C117" i="1" s="1"/>
  <c r="J117" i="1" l="1"/>
  <c r="I117" i="1"/>
  <c r="C118" i="1" s="1"/>
  <c r="J118" i="1" l="1"/>
  <c r="I118" i="1"/>
  <c r="C119" i="1" s="1"/>
  <c r="I119" i="1" l="1"/>
  <c r="J119" i="1"/>
  <c r="D187" i="1" l="1"/>
  <c r="D189" i="1" s="1"/>
  <c r="D190" i="1" s="1"/>
  <c r="D191" i="1" s="1"/>
  <c r="E188" i="1"/>
  <c r="E190" i="1" s="1"/>
  <c r="E191" i="1" s="1"/>
  <c r="E192" i="1" s="1"/>
  <c r="F325" i="1"/>
  <c r="F327" i="1" l="1"/>
  <c r="F328" i="1" s="1"/>
</calcChain>
</file>

<file path=xl/sharedStrings.xml><?xml version="1.0" encoding="utf-8"?>
<sst xmlns="http://schemas.openxmlformats.org/spreadsheetml/2006/main" count="471" uniqueCount="149">
  <si>
    <t>Period</t>
  </si>
  <si>
    <t>With-</t>
  </si>
  <si>
    <t>Net</t>
  </si>
  <si>
    <t>Ending</t>
  </si>
  <si>
    <t>Rate of</t>
  </si>
  <si>
    <t>Equity</t>
  </si>
  <si>
    <t>Additions</t>
  </si>
  <si>
    <t>drawals</t>
  </si>
  <si>
    <t>Performance</t>
  </si>
  <si>
    <t>Return</t>
  </si>
  <si>
    <t>-----------</t>
  </si>
  <si>
    <t>--------</t>
  </si>
  <si>
    <t>Cum</t>
  </si>
  <si>
    <t>APPY</t>
  </si>
  <si>
    <t>Drawdown</t>
  </si>
  <si>
    <t>% per Year</t>
  </si>
  <si>
    <t>commission</t>
  </si>
  <si>
    <t>nov</t>
  </si>
  <si>
    <t>hedge/roll</t>
  </si>
  <si>
    <t>CAD 12/29</t>
  </si>
  <si>
    <t>L settle</t>
  </si>
  <si>
    <t>EUR L</t>
  </si>
  <si>
    <t>JPY L</t>
  </si>
  <si>
    <t>AUD L</t>
  </si>
  <si>
    <t>GBP L</t>
  </si>
  <si>
    <t>CAD L</t>
  </si>
  <si>
    <t>Compressed 177-308</t>
  </si>
  <si>
    <t>12/29/17</t>
  </si>
  <si>
    <t>EUR 2</t>
  </si>
  <si>
    <t>1/31</t>
  </si>
  <si>
    <t>COM</t>
  </si>
  <si>
    <t>POINTS</t>
  </si>
  <si>
    <t>2 CON</t>
  </si>
  <si>
    <t>TOTAL</t>
  </si>
  <si>
    <t>GBP 2</t>
  </si>
  <si>
    <t>JPY 2</t>
  </si>
  <si>
    <t>AUD 1</t>
  </si>
  <si>
    <t>CAD 1</t>
  </si>
  <si>
    <t>18-Jan</t>
  </si>
  <si>
    <t>EUR L 2</t>
  </si>
  <si>
    <t>JPY L 2</t>
  </si>
  <si>
    <t>CAD L 2</t>
  </si>
  <si>
    <t>GBP L 2</t>
  </si>
  <si>
    <t>AUD L 2</t>
  </si>
  <si>
    <t>entry</t>
  </si>
  <si>
    <t>pts per contract</t>
  </si>
  <si>
    <t>total points</t>
  </si>
  <si>
    <t>p&amp;l</t>
  </si>
  <si>
    <t>total</t>
  </si>
  <si>
    <t>12412</t>
  </si>
  <si>
    <t>eur L2</t>
  </si>
  <si>
    <t>14181</t>
  </si>
  <si>
    <t>option write + -</t>
  </si>
  <si>
    <t xml:space="preserve"> bp L2</t>
  </si>
  <si>
    <t xml:space="preserve"> jy L2</t>
  </si>
  <si>
    <t xml:space="preserve"> ad L2</t>
  </si>
  <si>
    <t xml:space="preserve"> cd L2</t>
  </si>
  <si>
    <t>28 set</t>
  </si>
  <si>
    <t>AUD S 1</t>
  </si>
  <si>
    <t>add 1 total 2</t>
  </si>
  <si>
    <t>CAD S 3</t>
  </si>
  <si>
    <t>add 1 total 3</t>
  </si>
  <si>
    <t>18-Feb</t>
  </si>
  <si>
    <t>EUR L 1</t>
  </si>
  <si>
    <t>GBP L 1</t>
  </si>
  <si>
    <t>JPY L 1</t>
  </si>
  <si>
    <t>hedge</t>
  </si>
  <si>
    <t>COMMISSION</t>
  </si>
  <si>
    <t>EUR L1</t>
  </si>
  <si>
    <t>DEL</t>
  </si>
  <si>
    <t>HEDGE</t>
  </si>
  <si>
    <t>HIGH</t>
  </si>
  <si>
    <t>SETTLE</t>
  </si>
  <si>
    <t>GBP L1</t>
  </si>
  <si>
    <t>LOW</t>
  </si>
  <si>
    <t>AUD S 3</t>
  </si>
  <si>
    <t>CAD S 1</t>
  </si>
  <si>
    <t>18-Mar</t>
  </si>
  <si>
    <t>18-Apr</t>
  </si>
  <si>
    <t>18-May</t>
  </si>
  <si>
    <t>18-Jun</t>
  </si>
  <si>
    <t xml:space="preserve">Starting </t>
  </si>
  <si>
    <t>18-Jul</t>
  </si>
  <si>
    <t>18-Aug</t>
  </si>
  <si>
    <t>18-Sep</t>
  </si>
  <si>
    <t>Multiplier</t>
  </si>
  <si>
    <t>18-Oct</t>
  </si>
  <si>
    <t>18-Nov</t>
  </si>
  <si>
    <t>18-Dec</t>
  </si>
  <si>
    <t>Cad</t>
  </si>
  <si>
    <t>aud</t>
  </si>
  <si>
    <t>chf</t>
  </si>
  <si>
    <t>19-Jan</t>
  </si>
  <si>
    <t>`</t>
  </si>
  <si>
    <t>Winning Month</t>
  </si>
  <si>
    <t>Losing Months</t>
  </si>
  <si>
    <t>Months</t>
  </si>
  <si>
    <t>Cumulative Net Profit Trading One Unit</t>
  </si>
  <si>
    <t>AUDUSD</t>
  </si>
  <si>
    <t>Chart</t>
  </si>
  <si>
    <t>Opinion</t>
  </si>
  <si>
    <t>EURUSD</t>
  </si>
  <si>
    <t>GBPUSD</t>
  </si>
  <si>
    <t>USDCAD</t>
  </si>
  <si>
    <t>USDCHF</t>
  </si>
  <si>
    <t>USDJPY</t>
  </si>
  <si>
    <t>Analysis Page</t>
  </si>
  <si>
    <t>EMA Chart</t>
  </si>
  <si>
    <t>Buy-Sell-Hold</t>
  </si>
  <si>
    <t>Profit</t>
  </si>
  <si>
    <t>Total</t>
  </si>
  <si>
    <t>Gross</t>
  </si>
  <si>
    <t>Commission</t>
  </si>
  <si>
    <t>Tick</t>
  </si>
  <si>
    <t>set</t>
  </si>
  <si>
    <t>l</t>
  </si>
  <si>
    <t>s</t>
  </si>
  <si>
    <t>20-Jan</t>
  </si>
  <si>
    <t>20-Feb</t>
  </si>
  <si>
    <t>Yearly</t>
  </si>
  <si>
    <t>20-Mar</t>
  </si>
  <si>
    <t>Webpage</t>
  </si>
  <si>
    <t>This year</t>
  </si>
  <si>
    <t>Percent</t>
  </si>
  <si>
    <t>20-Apr</t>
  </si>
  <si>
    <t>20-May</t>
  </si>
  <si>
    <t>20-Jun</t>
  </si>
  <si>
    <t>20-Jul</t>
  </si>
  <si>
    <t>20-Aug</t>
  </si>
  <si>
    <t>20-Sep</t>
  </si>
  <si>
    <t>20-Oct</t>
  </si>
  <si>
    <t>P&amp;L</t>
  </si>
  <si>
    <t>20-Nov</t>
  </si>
  <si>
    <t xml:space="preserve">AUD </t>
  </si>
  <si>
    <t xml:space="preserve">GBP </t>
  </si>
  <si>
    <t xml:space="preserve">CAD </t>
  </si>
  <si>
    <t xml:space="preserve">EUR </t>
  </si>
  <si>
    <t>CHF</t>
  </si>
  <si>
    <t xml:space="preserve">JPY </t>
  </si>
  <si>
    <t>20-Dec</t>
  </si>
  <si>
    <t>last 12</t>
  </si>
  <si>
    <t>DX</t>
  </si>
  <si>
    <t>Total Months</t>
  </si>
  <si>
    <t>Per month</t>
  </si>
  <si>
    <t>webpage</t>
  </si>
  <si>
    <t>Dollar Index</t>
  </si>
  <si>
    <t>points</t>
  </si>
  <si>
    <t>Price</t>
  </si>
  <si>
    <t>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</si>
</sst>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164" formatCode="&quot;$&quot;#,##0.00;[Red]\-&quot;$&quot;#,##0.00"/>
    <numFmt numFmtId="165" formatCode="&quot;$&quot;#,##0.00"/>
    <numFmt numFmtId="166" formatCode="&quot;$&quot;#,##0.00;[Red]&quot;$&quot;#,##0.00"/>
    <numFmt numFmtId="167" formatCode="#,##0;[Red]#,##0"/>
    <numFmt numFmtId="168" formatCode="yy\-mmm"/>
    <numFmt numFmtId="169" formatCode="0.0000"/>
    <numFmt numFmtId="170" formatCode="&quot;$&quot;#,##0"/>
    <numFmt numFmtId="171" formatCode="0.0000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333333"/>
      <name val="Inherit"/>
    </font>
    <font>
      <u/>
      <sz val="11"/>
      <color theme="10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u/>
      <sz val="11"/>
      <color rgb="FF002060"/>
      <name val="Calibri"/>
      <family val="2"/>
      <scheme val="minor"/>
    </font>
    <font>
      <sz val="11"/>
      <color rgb="FF8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u/>
      <sz val="12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0" borderId="0" applyNumberFormat="0" applyFill="0" applyBorder="0" applyAlignment="0" applyProtection="0"/>
  </cellStyleXfs>
  <cellXfs count="162">
    <xf numFmtId="0" fontId="0" fillId="0" borderId="0" xfId="0"/>
    <xf numFmtId="0" fontId="19" fillId="0" borderId="0" xfId="0" applyFont="1" applyAlignment="1">
      <alignment horizontal="left"/>
    </xf>
    <xf numFmtId="0" fontId="0" fillId="0" borderId="0" xfId="0" applyAlignment="1">
      <alignment horizontal="left" indent="1"/>
    </xf>
    <xf numFmtId="8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left" indent="1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16" fontId="18" fillId="0" borderId="0" xfId="0" applyNumberFormat="1" applyFont="1" applyAlignment="1">
      <alignment horizontal="left" indent="1"/>
    </xf>
    <xf numFmtId="49" fontId="18" fillId="0" borderId="0" xfId="0" applyNumberFormat="1" applyFont="1" applyAlignment="1">
      <alignment horizontal="left" indent="1"/>
    </xf>
    <xf numFmtId="0" fontId="18" fillId="0" borderId="0" xfId="0" applyFont="1"/>
    <xf numFmtId="49" fontId="18" fillId="0" borderId="0" xfId="0" applyNumberFormat="1" applyFont="1"/>
    <xf numFmtId="0" fontId="19" fillId="0" borderId="0" xfId="0" applyFont="1"/>
    <xf numFmtId="1" fontId="19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left" indent="1"/>
    </xf>
    <xf numFmtId="1" fontId="16" fillId="0" borderId="0" xfId="0" applyNumberFormat="1" applyFon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left" indent="1"/>
    </xf>
    <xf numFmtId="0" fontId="20" fillId="33" borderId="0" xfId="0" applyFont="1" applyFill="1" applyAlignment="1">
      <alignment horizontal="left" indent="1"/>
    </xf>
    <xf numFmtId="0" fontId="20" fillId="33" borderId="0" xfId="0" applyFont="1" applyFill="1" applyAlignment="1">
      <alignment horizontal="center"/>
    </xf>
    <xf numFmtId="0" fontId="21" fillId="0" borderId="0" xfId="0" applyFont="1" applyAlignment="1">
      <alignment horizontal="left" indent="1"/>
    </xf>
    <xf numFmtId="0" fontId="22" fillId="0" borderId="0" xfId="0" applyFont="1" applyAlignment="1">
      <alignment horizontal="center"/>
    </xf>
    <xf numFmtId="16" fontId="21" fillId="0" borderId="0" xfId="0" applyNumberFormat="1" applyFont="1" applyAlignment="1">
      <alignment horizontal="left" indent="1"/>
    </xf>
    <xf numFmtId="10" fontId="21" fillId="0" borderId="0" xfId="0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8" fontId="21" fillId="0" borderId="0" xfId="0" applyNumberFormat="1" applyFont="1" applyAlignment="1">
      <alignment horizontal="left" indent="1"/>
    </xf>
    <xf numFmtId="1" fontId="18" fillId="0" borderId="0" xfId="0" applyNumberFormat="1" applyFont="1" applyAlignment="1">
      <alignment horizontal="left" indent="1"/>
    </xf>
    <xf numFmtId="1" fontId="19" fillId="0" borderId="0" xfId="0" applyNumberFormat="1" applyFont="1" applyAlignment="1">
      <alignment horizontal="left" indent="1"/>
    </xf>
    <xf numFmtId="2" fontId="18" fillId="0" borderId="0" xfId="0" applyNumberFormat="1" applyFont="1" applyAlignment="1">
      <alignment horizontal="left" indent="1"/>
    </xf>
    <xf numFmtId="0" fontId="22" fillId="0" borderId="0" xfId="0" applyFont="1" applyAlignment="1">
      <alignment horizontal="left" indent="1"/>
    </xf>
    <xf numFmtId="8" fontId="22" fillId="0" borderId="0" xfId="0" applyNumberFormat="1" applyFont="1" applyAlignment="1">
      <alignment horizontal="left" indent="1"/>
    </xf>
    <xf numFmtId="2" fontId="19" fillId="0" borderId="0" xfId="0" applyNumberFormat="1" applyFont="1" applyAlignment="1">
      <alignment horizontal="left" inden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1" fontId="18" fillId="0" borderId="0" xfId="0" applyNumberFormat="1" applyFont="1"/>
    <xf numFmtId="1" fontId="18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49" fontId="1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10" fontId="16" fillId="0" borderId="0" xfId="0" applyNumberFormat="1" applyFont="1" applyAlignment="1">
      <alignment horizontal="left" indent="1"/>
    </xf>
    <xf numFmtId="49" fontId="21" fillId="0" borderId="0" xfId="0" applyNumberFormat="1" applyFont="1" applyAlignment="1">
      <alignment horizontal="left" indent="1"/>
    </xf>
    <xf numFmtId="8" fontId="16" fillId="0" borderId="0" xfId="0" applyNumberFormat="1" applyFont="1" applyAlignment="1">
      <alignment horizontal="left" indent="1"/>
    </xf>
    <xf numFmtId="10" fontId="16" fillId="0" borderId="0" xfId="0" applyNumberFormat="1" applyFont="1" applyAlignment="1">
      <alignment horizontal="center"/>
    </xf>
    <xf numFmtId="10" fontId="23" fillId="0" borderId="0" xfId="0" applyNumberFormat="1" applyFont="1" applyAlignment="1">
      <alignment horizontal="center"/>
    </xf>
    <xf numFmtId="10" fontId="24" fillId="0" borderId="0" xfId="0" applyNumberFormat="1" applyFont="1" applyAlignment="1">
      <alignment horizontal="center"/>
    </xf>
    <xf numFmtId="166" fontId="21" fillId="0" borderId="0" xfId="0" applyNumberFormat="1" applyFont="1" applyAlignment="1">
      <alignment horizontal="left" indent="1"/>
    </xf>
    <xf numFmtId="0" fontId="21" fillId="0" borderId="0" xfId="0" applyFont="1" applyAlignment="1">
      <alignment horizontal="center"/>
    </xf>
    <xf numFmtId="4" fontId="19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horizontal="left" vertical="center" indent="1"/>
    </xf>
    <xf numFmtId="4" fontId="25" fillId="0" borderId="0" xfId="0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27" fillId="0" borderId="0" xfId="0" applyFont="1" applyAlignment="1">
      <alignment horizontal="left" vertical="center" indent="1"/>
    </xf>
    <xf numFmtId="2" fontId="19" fillId="0" borderId="0" xfId="0" applyNumberFormat="1" applyFont="1" applyAlignment="1">
      <alignment horizontal="right" indent="1"/>
    </xf>
    <xf numFmtId="4" fontId="28" fillId="0" borderId="0" xfId="0" applyNumberFormat="1" applyFont="1" applyAlignment="1">
      <alignment vertical="center"/>
    </xf>
    <xf numFmtId="0" fontId="30" fillId="0" borderId="11" xfId="42" applyBorder="1" applyAlignment="1">
      <alignment horizontal="left" vertical="center" wrapText="1"/>
    </xf>
    <xf numFmtId="0" fontId="30" fillId="0" borderId="0" xfId="42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2" fontId="19" fillId="0" borderId="0" xfId="0" applyNumberFormat="1" applyFont="1" applyAlignment="1">
      <alignment horizontal="center"/>
    </xf>
    <xf numFmtId="10" fontId="21" fillId="0" borderId="0" xfId="0" applyNumberFormat="1" applyFont="1" applyAlignment="1">
      <alignment horizontal="left" indent="1"/>
    </xf>
    <xf numFmtId="0" fontId="21" fillId="0" borderId="0" xfId="0" applyFont="1"/>
    <xf numFmtId="167" fontId="21" fillId="0" borderId="0" xfId="0" applyNumberFormat="1" applyFont="1" applyAlignment="1">
      <alignment horizontal="left" indent="1"/>
    </xf>
    <xf numFmtId="0" fontId="22" fillId="0" borderId="0" xfId="0" applyFont="1"/>
    <xf numFmtId="1" fontId="31" fillId="0" borderId="0" xfId="42" applyNumberFormat="1" applyFont="1" applyAlignment="1"/>
    <xf numFmtId="165" fontId="16" fillId="0" borderId="0" xfId="0" applyNumberFormat="1" applyFont="1"/>
    <xf numFmtId="2" fontId="19" fillId="0" borderId="0" xfId="0" applyNumberFormat="1" applyFont="1"/>
    <xf numFmtId="4" fontId="19" fillId="34" borderId="0" xfId="0" applyNumberFormat="1" applyFont="1" applyFill="1" applyAlignment="1">
      <alignment horizontal="left" indent="1"/>
    </xf>
    <xf numFmtId="10" fontId="21" fillId="34" borderId="0" xfId="0" applyNumberFormat="1" applyFont="1" applyFill="1" applyAlignment="1">
      <alignment horizontal="left" indent="1"/>
    </xf>
    <xf numFmtId="8" fontId="34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8" fontId="21" fillId="0" borderId="0" xfId="0" applyNumberFormat="1" applyFont="1" applyAlignment="1">
      <alignment horizontal="left" indent="1"/>
    </xf>
    <xf numFmtId="168" fontId="0" fillId="0" borderId="0" xfId="0" applyNumberFormat="1"/>
    <xf numFmtId="165" fontId="19" fillId="0" borderId="0" xfId="0" applyNumberFormat="1" applyFont="1" applyAlignment="1">
      <alignment horizontal="center"/>
    </xf>
    <xf numFmtId="8" fontId="16" fillId="0" borderId="0" xfId="0" applyNumberFormat="1" applyFont="1" applyAlignment="1">
      <alignment horizontal="center"/>
    </xf>
    <xf numFmtId="8" fontId="16" fillId="0" borderId="0" xfId="0" applyNumberFormat="1" applyFont="1" applyAlignment="1">
      <alignment horizontal="left"/>
    </xf>
    <xf numFmtId="165" fontId="21" fillId="0" borderId="0" xfId="0" applyNumberFormat="1" applyFont="1"/>
    <xf numFmtId="165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2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8" fontId="0" fillId="0" borderId="0" xfId="0" applyNumberFormat="1" applyAlignment="1">
      <alignment horizontal="left"/>
    </xf>
    <xf numFmtId="168" fontId="0" fillId="0" borderId="0" xfId="0" applyNumberFormat="1" applyAlignment="1">
      <alignment horizontal="left"/>
    </xf>
    <xf numFmtId="168" fontId="18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8" fontId="20" fillId="33" borderId="0" xfId="0" applyNumberFormat="1" applyFont="1" applyFill="1" applyAlignment="1">
      <alignment horizontal="left"/>
    </xf>
    <xf numFmtId="168" fontId="21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68" fontId="19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6" fontId="18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168" fontId="27" fillId="0" borderId="0" xfId="0" applyNumberFormat="1" applyFont="1" applyAlignment="1">
      <alignment horizontal="left" vertical="center"/>
    </xf>
    <xf numFmtId="1" fontId="16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164" fontId="16" fillId="0" borderId="0" xfId="0" applyNumberFormat="1" applyFont="1" applyAlignment="1">
      <alignment horizontal="left"/>
    </xf>
    <xf numFmtId="169" fontId="0" fillId="0" borderId="0" xfId="0" applyNumberFormat="1" applyAlignment="1">
      <alignment horizontal="left"/>
    </xf>
    <xf numFmtId="169" fontId="16" fillId="0" borderId="0" xfId="0" applyNumberFormat="1" applyFont="1" applyAlignment="1">
      <alignment horizontal="left"/>
    </xf>
    <xf numFmtId="165" fontId="19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/>
    </xf>
    <xf numFmtId="165" fontId="18" fillId="0" borderId="0" xfId="0" applyNumberFormat="1" applyFont="1" applyAlignment="1">
      <alignment horizontal="left"/>
    </xf>
    <xf numFmtId="165" fontId="33" fillId="0" borderId="0" xfId="42" applyNumberFormat="1" applyFont="1" applyAlignment="1">
      <alignment horizontal="left" vertical="center" wrapText="1"/>
    </xf>
    <xf numFmtId="10" fontId="22" fillId="0" borderId="0" xfId="0" applyNumberFormat="1" applyFont="1" applyAlignment="1">
      <alignment horizontal="left"/>
    </xf>
    <xf numFmtId="0" fontId="16" fillId="35" borderId="0" xfId="0" applyFont="1" applyFill="1"/>
    <xf numFmtId="0" fontId="29" fillId="0" borderId="0" xfId="0" applyFont="1" applyAlignment="1">
      <alignment horizontal="left" vertical="center" wrapText="1"/>
    </xf>
    <xf numFmtId="0" fontId="30" fillId="0" borderId="0" xfId="42" applyFill="1" applyBorder="1"/>
    <xf numFmtId="1" fontId="18" fillId="0" borderId="0" xfId="0" applyNumberFormat="1" applyFont="1" applyAlignment="1">
      <alignment horizontal="left"/>
    </xf>
    <xf numFmtId="171" fontId="18" fillId="0" borderId="0" xfId="0" applyNumberFormat="1" applyFont="1" applyAlignment="1">
      <alignment horizontal="left"/>
    </xf>
    <xf numFmtId="171" fontId="19" fillId="0" borderId="0" xfId="0" applyNumberFormat="1" applyFont="1" applyAlignment="1">
      <alignment horizontal="left"/>
    </xf>
    <xf numFmtId="170" fontId="19" fillId="0" borderId="0" xfId="0" applyNumberFormat="1" applyFont="1" applyAlignment="1">
      <alignment horizontal="left"/>
    </xf>
    <xf numFmtId="0" fontId="16" fillId="0" borderId="0" xfId="0" applyFont="1"/>
    <xf numFmtId="1" fontId="19" fillId="0" borderId="0" xfId="0" applyNumberFormat="1" applyFont="1" applyAlignment="1">
      <alignment horizontal="left"/>
    </xf>
    <xf numFmtId="2" fontId="19" fillId="0" borderId="0" xfId="0" applyNumberFormat="1" applyFont="1" applyAlignment="1">
      <alignment horizontal="left"/>
    </xf>
    <xf numFmtId="166" fontId="21" fillId="0" borderId="0" xfId="0" applyNumberFormat="1" applyFont="1" applyAlignment="1">
      <alignment horizontal="left"/>
    </xf>
    <xf numFmtId="8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170" fontId="27" fillId="0" borderId="0" xfId="0" applyNumberFormat="1" applyFont="1" applyAlignment="1">
      <alignment horizontal="left" vertical="center"/>
    </xf>
    <xf numFmtId="0" fontId="32" fillId="0" borderId="0" xfId="42" applyFont="1" applyAlignment="1">
      <alignment horizontal="left" vertical="center" wrapText="1"/>
    </xf>
    <xf numFmtId="170" fontId="18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0" fontId="33" fillId="0" borderId="0" xfId="42" applyFont="1" applyAlignment="1">
      <alignment horizontal="left" vertical="center" wrapText="1"/>
    </xf>
    <xf numFmtId="3" fontId="0" fillId="0" borderId="0" xfId="0" applyNumberFormat="1" applyAlignment="1">
      <alignment horizontal="left"/>
    </xf>
    <xf numFmtId="170" fontId="0" fillId="0" borderId="12" xfId="0" applyNumberFormat="1" applyBorder="1" applyAlignment="1">
      <alignment horizontal="left"/>
    </xf>
    <xf numFmtId="0" fontId="27" fillId="0" borderId="0" xfId="0" applyFont="1" applyAlignment="1">
      <alignment horizontal="left" vertical="center"/>
    </xf>
    <xf numFmtId="3" fontId="18" fillId="0" borderId="0" xfId="0" applyNumberFormat="1" applyFont="1" applyAlignment="1">
      <alignment horizontal="left"/>
    </xf>
    <xf numFmtId="0" fontId="30" fillId="0" borderId="0" xfId="42" applyFill="1" applyBorder="1" applyAlignment="1">
      <alignment horizontal="left"/>
    </xf>
    <xf numFmtId="165" fontId="16" fillId="35" borderId="0" xfId="0" applyNumberFormat="1" applyFont="1" applyFill="1" applyAlignment="1">
      <alignment horizontal="left"/>
    </xf>
    <xf numFmtId="10" fontId="16" fillId="35" borderId="0" xfId="0" applyNumberFormat="1" applyFont="1" applyFill="1" applyAlignment="1">
      <alignment horizontal="left"/>
    </xf>
    <xf numFmtId="10" fontId="16" fillId="35" borderId="0" xfId="0" applyNumberFormat="1" applyFont="1" applyFill="1" applyAlignment="1">
      <alignment horizontal="left" indent="1"/>
    </xf>
    <xf numFmtId="3" fontId="35" fillId="0" borderId="0" xfId="42" applyNumberFormat="1" applyFont="1" applyBorder="1" applyAlignment="1">
      <alignment horizontal="left" vertical="center" wrapText="1"/>
    </xf>
    <xf numFmtId="3" fontId="36" fillId="0" borderId="0" xfId="0" applyNumberFormat="1" applyFont="1" applyAlignment="1">
      <alignment horizontal="left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left" indent="1"/>
    </xf>
    <xf numFmtId="171" fontId="37" fillId="0" borderId="0" xfId="0" applyNumberFormat="1" applyFont="1" applyAlignment="1">
      <alignment horizontal="left"/>
    </xf>
    <xf numFmtId="0" fontId="38" fillId="0" borderId="0" xfId="42" applyFont="1" applyFill="1" applyBorder="1" applyAlignment="1">
      <alignment horizontal="left"/>
    </xf>
    <xf numFmtId="166" fontId="37" fillId="0" borderId="0" xfId="0" applyNumberFormat="1" applyFont="1" applyAlignment="1">
      <alignment horizontal="left"/>
    </xf>
    <xf numFmtId="0" fontId="37" fillId="0" borderId="0" xfId="0" applyFont="1" applyAlignment="1">
      <alignment horizontal="center"/>
    </xf>
    <xf numFmtId="166" fontId="36" fillId="0" borderId="0" xfId="0" applyNumberFormat="1" applyFont="1" applyAlignment="1">
      <alignment horizontal="left"/>
    </xf>
    <xf numFmtId="171" fontId="37" fillId="0" borderId="0" xfId="0" applyNumberFormat="1" applyFont="1" applyAlignment="1">
      <alignment horizontal="left" indent="1"/>
    </xf>
    <xf numFmtId="3" fontId="36" fillId="0" borderId="0" xfId="0" applyNumberFormat="1" applyFont="1" applyAlignment="1">
      <alignment horizontal="center"/>
    </xf>
    <xf numFmtId="4" fontId="25" fillId="0" borderId="0" xfId="0" applyNumberFormat="1" applyFont="1" applyAlignment="1">
      <alignment horizontal="left" vertical="center"/>
    </xf>
    <xf numFmtId="169" fontId="0" fillId="0" borderId="0" xfId="0" applyNumberFormat="1" applyAlignment="1">
      <alignment horizontal="left" indent="1"/>
    </xf>
    <xf numFmtId="4" fontId="26" fillId="0" borderId="0" xfId="0" applyNumberFormat="1" applyFont="1" applyAlignment="1">
      <alignment horizontal="left" vertical="center"/>
    </xf>
    <xf numFmtId="165" fontId="16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horizontal="left" vertical="center"/>
    </xf>
    <xf numFmtId="2" fontId="16" fillId="0" borderId="0" xfId="0" applyNumberFormat="1" applyFont="1" applyAlignment="1">
      <alignment horizontal="center"/>
    </xf>
    <xf numFmtId="0" fontId="18" fillId="0" borderId="13" xfId="0" applyFont="1" applyBorder="1" applyAlignment="1">
      <alignment horizontal="left" indent="1"/>
    </xf>
    <xf numFmtId="169" fontId="16" fillId="0" borderId="0" xfId="0" applyNumberFormat="1" applyFont="1" applyAlignment="1">
      <alignment horizontal="left" vertical="center"/>
    </xf>
    <xf numFmtId="169" fontId="19" fillId="0" borderId="0" xfId="0" applyNumberFormat="1" applyFont="1" applyAlignment="1">
      <alignment horizontal="left"/>
    </xf>
    <xf numFmtId="169" fontId="19" fillId="0" borderId="0" xfId="0" applyNumberFormat="1" applyFont="1" applyAlignment="1">
      <alignment horizontal="center"/>
    </xf>
    <xf numFmtId="171" fontId="18" fillId="0" borderId="13" xfId="0" applyNumberFormat="1" applyFont="1" applyBorder="1" applyAlignment="1">
      <alignment horizontal="left"/>
    </xf>
    <xf numFmtId="171" fontId="18" fillId="0" borderId="13" xfId="0" applyNumberFormat="1" applyFont="1" applyBorder="1"/>
    <xf numFmtId="171" fontId="18" fillId="0" borderId="13" xfId="0" applyNumberFormat="1" applyFont="1" applyBorder="1" applyAlignment="1">
      <alignment horizontal="left" indent="1"/>
    </xf>
    <xf numFmtId="8" fontId="18" fillId="0" borderId="13" xfId="0" applyNumberFormat="1" applyFont="1" applyBorder="1" applyAlignment="1">
      <alignment horizontal="left" indent="1"/>
    </xf>
    <xf numFmtId="170" fontId="0" fillId="0" borderId="0" xfId="0" applyNumberFormat="1" applyAlignment="1">
      <alignment horizontal="left"/>
    </xf>
    <xf numFmtId="165" fontId="1" fillId="0" borderId="0" xfId="42" applyNumberFormat="1" applyFont="1" applyAlignment="1">
      <alignment horizontal="left" vertical="center" wrapText="1"/>
    </xf>
    <xf numFmtId="0" fontId="20" fillId="33" borderId="0" xfId="0" applyFont="1" applyFill="1" applyAlignment="1">
      <alignment horizontal="left" vertical="center" inden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0" fontId="19" fillId="0" borderId="0" xfId="0" applyNumberFormat="1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61759025404845E-2"/>
          <c:y val="0.10440318094566535"/>
          <c:w val="0.89460825258477916"/>
          <c:h val="0.69180397226466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'June 2017'!$Q$3</c:f>
              <c:strCache>
                <c:ptCount val="1"/>
                <c:pt idx="0">
                  <c:v>Winning Month</c:v>
                </c:pt>
              </c:strCache>
            </c:strRef>
          </c:tx>
          <c:spPr>
            <a:solidFill>
              <a:schemeClr val="tx1"/>
            </a:solidFill>
            <a:ln w="25400">
              <a:solidFill>
                <a:schemeClr val="tx1"/>
              </a:solidFill>
            </a:ln>
            <a:effectLst/>
          </c:spPr>
          <c:invertIfNegative val="0"/>
          <c:cat>
            <c:strRef>
              <c:f>'June 2017'!$P$5:$P$137</c:f>
              <c:strCache>
                <c:ptCount val="133"/>
                <c:pt idx="1">
                  <c:v>17-Apr</c:v>
                </c:pt>
                <c:pt idx="2">
                  <c:v>17-May</c:v>
                </c:pt>
                <c:pt idx="3">
                  <c:v>17-Jun</c:v>
                </c:pt>
                <c:pt idx="4">
                  <c:v>17-Jul</c:v>
                </c:pt>
                <c:pt idx="5">
                  <c:v>17-Aug</c:v>
                </c:pt>
                <c:pt idx="6">
                  <c:v>17-Sep</c:v>
                </c:pt>
                <c:pt idx="7">
                  <c:v>17-Oct</c:v>
                </c:pt>
                <c:pt idx="8">
                  <c:v>17-Nov</c:v>
                </c:pt>
                <c:pt idx="9">
                  <c:v>17-Dec</c:v>
                </c:pt>
                <c:pt idx="10">
                  <c:v>17-Jan</c:v>
                </c:pt>
                <c:pt idx="11">
                  <c:v>17-Feb</c:v>
                </c:pt>
                <c:pt idx="12">
                  <c:v>17-Mar</c:v>
                </c:pt>
                <c:pt idx="13">
                  <c:v>17-Apr</c:v>
                </c:pt>
                <c:pt idx="14">
                  <c:v>17-May</c:v>
                </c:pt>
                <c:pt idx="15">
                  <c:v>17-Jun</c:v>
                </c:pt>
                <c:pt idx="16">
                  <c:v>17-Jul</c:v>
                </c:pt>
                <c:pt idx="17">
                  <c:v>17-Aug</c:v>
                </c:pt>
                <c:pt idx="18">
                  <c:v>17-Sep</c:v>
                </c:pt>
                <c:pt idx="19">
                  <c:v>17-Oct</c:v>
                </c:pt>
                <c:pt idx="20">
                  <c:v>17-Nov</c:v>
                </c:pt>
                <c:pt idx="21">
                  <c:v>17-Dec</c:v>
                </c:pt>
                <c:pt idx="22">
                  <c:v>17-Jan</c:v>
                </c:pt>
                <c:pt idx="23">
                  <c:v>17-Feb</c:v>
                </c:pt>
                <c:pt idx="24">
                  <c:v>17-Mar</c:v>
                </c:pt>
                <c:pt idx="25">
                  <c:v>17-Apr</c:v>
                </c:pt>
                <c:pt idx="26">
                  <c:v>17-May</c:v>
                </c:pt>
                <c:pt idx="27">
                  <c:v>17-Jun</c:v>
                </c:pt>
                <c:pt idx="28">
                  <c:v>17-Jul</c:v>
                </c:pt>
                <c:pt idx="29">
                  <c:v>17-Aug</c:v>
                </c:pt>
                <c:pt idx="30">
                  <c:v>17-Sep</c:v>
                </c:pt>
                <c:pt idx="31">
                  <c:v>17-Oct</c:v>
                </c:pt>
                <c:pt idx="32">
                  <c:v>17-Nov</c:v>
                </c:pt>
                <c:pt idx="33">
                  <c:v>17-Dec</c:v>
                </c:pt>
                <c:pt idx="34">
                  <c:v>17-Jan</c:v>
                </c:pt>
                <c:pt idx="35">
                  <c:v>17-Feb</c:v>
                </c:pt>
                <c:pt idx="36">
                  <c:v>17-Mar</c:v>
                </c:pt>
                <c:pt idx="37">
                  <c:v>17-Apr</c:v>
                </c:pt>
                <c:pt idx="38">
                  <c:v>17-May</c:v>
                </c:pt>
                <c:pt idx="39">
                  <c:v>17-Jun</c:v>
                </c:pt>
                <c:pt idx="40">
                  <c:v>17-Jul</c:v>
                </c:pt>
                <c:pt idx="41">
                  <c:v>17-Aug</c:v>
                </c:pt>
                <c:pt idx="42">
                  <c:v>17-Sep</c:v>
                </c:pt>
                <c:pt idx="43">
                  <c:v>17-Oct</c:v>
                </c:pt>
                <c:pt idx="44">
                  <c:v>17-Nov</c:v>
                </c:pt>
                <c:pt idx="45">
                  <c:v>17-Dec</c:v>
                </c:pt>
                <c:pt idx="46">
                  <c:v>17-Jan</c:v>
                </c:pt>
                <c:pt idx="47">
                  <c:v>17-Feb</c:v>
                </c:pt>
                <c:pt idx="48">
                  <c:v>17-Mar</c:v>
                </c:pt>
                <c:pt idx="49">
                  <c:v>17-Apr</c:v>
                </c:pt>
                <c:pt idx="50">
                  <c:v>17-May</c:v>
                </c:pt>
                <c:pt idx="51">
                  <c:v>17-Jun</c:v>
                </c:pt>
                <c:pt idx="52">
                  <c:v>17-Jul</c:v>
                </c:pt>
                <c:pt idx="53">
                  <c:v>17-Aug</c:v>
                </c:pt>
                <c:pt idx="54">
                  <c:v>17-Sep</c:v>
                </c:pt>
                <c:pt idx="55">
                  <c:v>17-Oct</c:v>
                </c:pt>
                <c:pt idx="56">
                  <c:v>17-Nov</c:v>
                </c:pt>
                <c:pt idx="57">
                  <c:v>17-Dec</c:v>
                </c:pt>
                <c:pt idx="58">
                  <c:v>17-Jan</c:v>
                </c:pt>
                <c:pt idx="59">
                  <c:v>17-Feb</c:v>
                </c:pt>
                <c:pt idx="60">
                  <c:v>17-Mar</c:v>
                </c:pt>
                <c:pt idx="61">
                  <c:v>17-Apr</c:v>
                </c:pt>
                <c:pt idx="62">
                  <c:v>17-May</c:v>
                </c:pt>
                <c:pt idx="63">
                  <c:v>17-Jun</c:v>
                </c:pt>
                <c:pt idx="64">
                  <c:v>17-Jul</c:v>
                </c:pt>
                <c:pt idx="65">
                  <c:v>17-Aug</c:v>
                </c:pt>
                <c:pt idx="66">
                  <c:v>17-Sep</c:v>
                </c:pt>
                <c:pt idx="67">
                  <c:v>17-Oct</c:v>
                </c:pt>
                <c:pt idx="68">
                  <c:v>17-Nov</c:v>
                </c:pt>
                <c:pt idx="69">
                  <c:v>17-Dec</c:v>
                </c:pt>
                <c:pt idx="70">
                  <c:v>18-Jan</c:v>
                </c:pt>
                <c:pt idx="71">
                  <c:v>18-Feb</c:v>
                </c:pt>
                <c:pt idx="72">
                  <c:v>18-Mar</c:v>
                </c:pt>
                <c:pt idx="73">
                  <c:v>18-Apr</c:v>
                </c:pt>
                <c:pt idx="74">
                  <c:v>18-May</c:v>
                </c:pt>
                <c:pt idx="75">
                  <c:v>18-Jun</c:v>
                </c:pt>
                <c:pt idx="76">
                  <c:v>18-Jul</c:v>
                </c:pt>
                <c:pt idx="77">
                  <c:v>18-Aug</c:v>
                </c:pt>
                <c:pt idx="78">
                  <c:v>18-Sep</c:v>
                </c:pt>
                <c:pt idx="79">
                  <c:v>18-Oct</c:v>
                </c:pt>
                <c:pt idx="80">
                  <c:v>18-Nov</c:v>
                </c:pt>
                <c:pt idx="81">
                  <c:v>18-Dec</c:v>
                </c:pt>
                <c:pt idx="82">
                  <c:v>19-Jan</c:v>
                </c:pt>
                <c:pt idx="83">
                  <c:v>19-Feb</c:v>
                </c:pt>
                <c:pt idx="84">
                  <c:v>19-Mar</c:v>
                </c:pt>
                <c:pt idx="85">
                  <c:v>19-Apr</c:v>
                </c:pt>
                <c:pt idx="86">
                  <c:v>19-May</c:v>
                </c:pt>
                <c:pt idx="87">
                  <c:v>19-Jun</c:v>
                </c:pt>
                <c:pt idx="88">
                  <c:v>19-Jul</c:v>
                </c:pt>
                <c:pt idx="89">
                  <c:v>19-Aug</c:v>
                </c:pt>
                <c:pt idx="90">
                  <c:v>19-Sep</c:v>
                </c:pt>
                <c:pt idx="91">
                  <c:v>19-Oct</c:v>
                </c:pt>
                <c:pt idx="92">
                  <c:v>19-Nov</c:v>
                </c:pt>
                <c:pt idx="93">
                  <c:v>19-Dec</c:v>
                </c:pt>
                <c:pt idx="94">
                  <c:v>20-Jan</c:v>
                </c:pt>
                <c:pt idx="95">
                  <c:v>20-Feb</c:v>
                </c:pt>
                <c:pt idx="96">
                  <c:v>20-Mar</c:v>
                </c:pt>
                <c:pt idx="97">
                  <c:v>20-Apr</c:v>
                </c:pt>
                <c:pt idx="98">
                  <c:v>20-May</c:v>
                </c:pt>
                <c:pt idx="99">
                  <c:v>20-Jun</c:v>
                </c:pt>
                <c:pt idx="100">
                  <c:v>20-Jul</c:v>
                </c:pt>
                <c:pt idx="101">
                  <c:v>20-Aug</c:v>
                </c:pt>
                <c:pt idx="102">
                  <c:v>20-Sep</c:v>
                </c:pt>
                <c:pt idx="103">
                  <c:v>20-Oct</c:v>
                </c:pt>
                <c:pt idx="104">
                  <c:v>20-Nov</c:v>
                </c:pt>
                <c:pt idx="105">
                  <c:v>20-Dec</c:v>
                </c:pt>
                <c:pt idx="106">
                  <c:v>21-Jan</c:v>
                </c:pt>
                <c:pt idx="107">
                  <c:v>21-Feb</c:v>
                </c:pt>
                <c:pt idx="108">
                  <c:v>21-Mar</c:v>
                </c:pt>
                <c:pt idx="109">
                  <c:v>21-Apr</c:v>
                </c:pt>
                <c:pt idx="110">
                  <c:v>21-May</c:v>
                </c:pt>
                <c:pt idx="111">
                  <c:v>21-Jun</c:v>
                </c:pt>
                <c:pt idx="112">
                  <c:v>21-Jul</c:v>
                </c:pt>
                <c:pt idx="113">
                  <c:v>21-Aug</c:v>
                </c:pt>
                <c:pt idx="114">
                  <c:v>21-Sep</c:v>
                </c:pt>
                <c:pt idx="115">
                  <c:v>21-Oct</c:v>
                </c:pt>
                <c:pt idx="116">
                  <c:v>21-Nov</c:v>
                </c:pt>
                <c:pt idx="117">
                  <c:v>21-Dec</c:v>
                </c:pt>
                <c:pt idx="118">
                  <c:v>22-Jan</c:v>
                </c:pt>
                <c:pt idx="119">
                  <c:v>22-Feb</c:v>
                </c:pt>
                <c:pt idx="120">
                  <c:v>22-Mar</c:v>
                </c:pt>
                <c:pt idx="121">
                  <c:v>22-Apr</c:v>
                </c:pt>
                <c:pt idx="122">
                  <c:v>22-May</c:v>
                </c:pt>
                <c:pt idx="123">
                  <c:v>22-Jun</c:v>
                </c:pt>
                <c:pt idx="124">
                  <c:v>22-Jul</c:v>
                </c:pt>
                <c:pt idx="125">
                  <c:v>22-Aug</c:v>
                </c:pt>
                <c:pt idx="126">
                  <c:v>22-Sep</c:v>
                </c:pt>
                <c:pt idx="127">
                  <c:v>22-Oct</c:v>
                </c:pt>
                <c:pt idx="128">
                  <c:v>22-Nov</c:v>
                </c:pt>
                <c:pt idx="129">
                  <c:v>22-Dec</c:v>
                </c:pt>
                <c:pt idx="130">
                  <c:v>23-Jan</c:v>
                </c:pt>
                <c:pt idx="131">
                  <c:v>23-Feb</c:v>
                </c:pt>
                <c:pt idx="132">
                  <c:v>23-Mar</c:v>
                </c:pt>
              </c:strCache>
            </c:strRef>
          </c:cat>
          <c:val>
            <c:numRef>
              <c:f>'June 2017'!$Q$5:$Q$137</c:f>
              <c:numCache>
                <c:formatCode>General</c:formatCode>
                <c:ptCount val="133"/>
                <c:pt idx="2" formatCode="&quot;$&quot;#,##0.00;[Red]&quot;$&quot;#,##0.00">
                  <c:v>9965.1299999999992</c:v>
                </c:pt>
                <c:pt idx="3" formatCode="&quot;$&quot;#,##0.00;[Red]&quot;$&quot;#,##0.00">
                  <c:v>1554.9457</c:v>
                </c:pt>
                <c:pt idx="5" formatCode="&quot;$&quot;#,##0.00;[Red]&quot;$&quot;#,##0.00">
                  <c:v>6871.1046000000015</c:v>
                </c:pt>
                <c:pt idx="7" formatCode="&quot;$&quot;#,##0.00;[Red]&quot;$&quot;#,##0.00">
                  <c:v>1745.2574999999999</c:v>
                </c:pt>
                <c:pt idx="8" formatCode="&quot;$&quot;#,##0.00;[Red]&quot;$&quot;#,##0.00">
                  <c:v>5219.3492000000006</c:v>
                </c:pt>
                <c:pt idx="10" formatCode="&quot;$&quot;#,##0.00;[Red]&quot;$&quot;#,##0.00">
                  <c:v>1563.3727999999999</c:v>
                </c:pt>
                <c:pt idx="11" formatCode="&quot;$&quot;#,##0.00;[Red]&quot;$&quot;#,##0.00">
                  <c:v>7017.3440999999993</c:v>
                </c:pt>
                <c:pt idx="12" formatCode="&quot;$&quot;#,##0.00;[Red]&quot;$&quot;#,##0.00">
                  <c:v>7659.1606000000002</c:v>
                </c:pt>
                <c:pt idx="14" formatCode="&quot;$&quot;#,##0.00;[Red]&quot;$&quot;#,##0.00">
                  <c:v>3414.0149999999999</c:v>
                </c:pt>
                <c:pt idx="15" formatCode="&quot;$&quot;#,##0.00;[Red]&quot;$&quot;#,##0.00">
                  <c:v>4405.1995999999999</c:v>
                </c:pt>
                <c:pt idx="16" formatCode="&quot;$&quot;#,##0.00;[Red]&quot;$&quot;#,##0.00">
                  <c:v>5690.2130999999999</c:v>
                </c:pt>
                <c:pt idx="17" formatCode="&quot;$&quot;#,##0.00;[Red]&quot;$&quot;#,##0.00">
                  <c:v>1713.4838999999997</c:v>
                </c:pt>
                <c:pt idx="18" formatCode="&quot;$&quot;#,##0.00;[Red]&quot;$&quot;#,##0.00">
                  <c:v>2503.9</c:v>
                </c:pt>
                <c:pt idx="20" formatCode="&quot;$&quot;#,##0.00;[Red]&quot;$&quot;#,##0.00">
                  <c:v>1963.26</c:v>
                </c:pt>
                <c:pt idx="22" formatCode="&quot;$&quot;#,##0.00;[Red]&quot;$&quot;#,##0.00">
                  <c:v>1382.1236000000001</c:v>
                </c:pt>
                <c:pt idx="23" formatCode="&quot;$&quot;#,##0.00;[Red]&quot;$&quot;#,##0.00">
                  <c:v>2708.25</c:v>
                </c:pt>
                <c:pt idx="25" formatCode="&quot;$&quot;#,##0.00;[Red]&quot;$&quot;#,##0.00">
                  <c:v>1210.8039999999999</c:v>
                </c:pt>
                <c:pt idx="30" formatCode="&quot;$&quot;#,##0.00;[Red]&quot;$&quot;#,##0.00">
                  <c:v>5783.8054000000002</c:v>
                </c:pt>
                <c:pt idx="31" formatCode="&quot;$&quot;#,##0.00;[Red]&quot;$&quot;#,##0.00">
                  <c:v>4543.5189</c:v>
                </c:pt>
                <c:pt idx="32" formatCode="&quot;$&quot;#,##0.00;[Red]&quot;$&quot;#,##0.00">
                  <c:v>10926.9877</c:v>
                </c:pt>
                <c:pt idx="34" formatCode="&quot;$&quot;#,##0.00;[Red]&quot;$&quot;#,##0.00">
                  <c:v>4163.2831999999999</c:v>
                </c:pt>
                <c:pt idx="35" formatCode="&quot;$&quot;#,##0.00;[Red]&quot;$&quot;#,##0.00">
                  <c:v>2268.1783</c:v>
                </c:pt>
                <c:pt idx="36" formatCode="&quot;$&quot;#,##0.00;[Red]&quot;$&quot;#,##0.00">
                  <c:v>1221.9207000000001</c:v>
                </c:pt>
                <c:pt idx="37" formatCode="&quot;$&quot;#,##0.00;[Red]&quot;$&quot;#,##0.00">
                  <c:v>6919.9025000000001</c:v>
                </c:pt>
                <c:pt idx="39" formatCode="&quot;$&quot;#,##0.00;[Red]&quot;$&quot;#,##0.00">
                  <c:v>15261.497499999998</c:v>
                </c:pt>
                <c:pt idx="44" formatCode="&quot;$&quot;#,##0.00;[Red]&quot;$&quot;#,##0.00">
                  <c:v>6192.4856000000009</c:v>
                </c:pt>
                <c:pt idx="47" formatCode="&quot;$&quot;#,##0.00;[Red]&quot;$&quot;#,##0.00">
                  <c:v>8918.2925000000014</c:v>
                </c:pt>
                <c:pt idx="49" formatCode="&quot;$&quot;#,##0.00;[Red]&quot;$&quot;#,##0.00">
                  <c:v>6205.3306000000002</c:v>
                </c:pt>
                <c:pt idx="51" formatCode="&quot;$&quot;#,##0.00;[Red]&quot;$&quot;#,##0.00">
                  <c:v>8041.4404000000004</c:v>
                </c:pt>
                <c:pt idx="52" formatCode="&quot;$&quot;#,##0.00;[Red]&quot;$&quot;#,##0.00">
                  <c:v>4841.6402999999991</c:v>
                </c:pt>
                <c:pt idx="53" formatCode="&quot;$&quot;#,##0.00;[Red]&quot;$&quot;#,##0.00">
                  <c:v>5557.7843999999996</c:v>
                </c:pt>
                <c:pt idx="55" formatCode="&quot;$&quot;#,##0.00;[Red]&quot;$&quot;#,##0.00">
                  <c:v>6214.9833000000017</c:v>
                </c:pt>
                <c:pt idx="58" formatCode="&quot;$&quot;#,##0.00;[Red]&quot;$&quot;#,##0.00">
                  <c:v>11110.841599999998</c:v>
                </c:pt>
                <c:pt idx="60" formatCode="&quot;$&quot;#,##0.00;[Red]&quot;$&quot;#,##0.00">
                  <c:v>2788.3517999999999</c:v>
                </c:pt>
                <c:pt idx="62" formatCode="&quot;$&quot;#,##0.00;[Red]&quot;$&quot;#,##0.00">
                  <c:v>465.91379999999998</c:v>
                </c:pt>
                <c:pt idx="63" formatCode="&quot;$&quot;#,##0.00;[Red]&quot;$&quot;#,##0.00">
                  <c:v>2095.8966</c:v>
                </c:pt>
                <c:pt idx="64" formatCode="&quot;$&quot;#,##0.00;[Red]&quot;$&quot;#,##0.00">
                  <c:v>4914.6974999999993</c:v>
                </c:pt>
                <c:pt idx="65" formatCode="&quot;$&quot;#,##0.00;[Red]&quot;$&quot;#,##0.00">
                  <c:v>3635.4374999999995</c:v>
                </c:pt>
                <c:pt idx="66" formatCode="&quot;$&quot;#,##0.00;[Red]&quot;$&quot;#,##0.00">
                  <c:v>4441.2375000000002</c:v>
                </c:pt>
                <c:pt idx="70" formatCode="&quot;$&quot;#,##0.00;[Red]&quot;$&quot;#,##0.00">
                  <c:v>14505.587099999999</c:v>
                </c:pt>
                <c:pt idx="73" formatCode="&quot;$&quot;#,##0.00;[Red]&quot;$&quot;#,##0.00">
                  <c:v>10888.4841</c:v>
                </c:pt>
                <c:pt idx="74" formatCode="&quot;$&quot;#,##0.00;[Red]&quot;$&quot;#,##0.00">
                  <c:v>5904.7200000000012</c:v>
                </c:pt>
                <c:pt idx="75" formatCode="&quot;$&quot;#,##0.00;[Red]&quot;$&quot;#,##0.00">
                  <c:v>2842.8707999999997</c:v>
                </c:pt>
                <c:pt idx="77" formatCode="&quot;$&quot;#,##0.00;[Red]&quot;$&quot;#,##0.00">
                  <c:v>1111.9542000000001</c:v>
                </c:pt>
                <c:pt idx="78" formatCode="&quot;$&quot;#,##0.00;[Red]&quot;$&quot;#,##0.00">
                  <c:v>1126.5407999999998</c:v>
                </c:pt>
                <c:pt idx="79" formatCode="&quot;$&quot;#,##0.00;[Red]&quot;$&quot;#,##0.00">
                  <c:v>2947.12</c:v>
                </c:pt>
                <c:pt idx="80" formatCode="&quot;$&quot;#,##0.00;[Red]&quot;$&quot;#,##0.00">
                  <c:v>2936.44</c:v>
                </c:pt>
                <c:pt idx="81" formatCode="&quot;$&quot;#,##0.00;[Red]&quot;$&quot;#,##0.00">
                  <c:v>9215.4500000000007</c:v>
                </c:pt>
                <c:pt idx="82" formatCode="&quot;$&quot;#,##0.00;[Red]&quot;$&quot;#,##0.00">
                  <c:v>1206.25</c:v>
                </c:pt>
                <c:pt idx="83" formatCode="&quot;$&quot;#,##0.00;[Red]&quot;$&quot;#,##0.00">
                  <c:v>2781.39</c:v>
                </c:pt>
                <c:pt idx="84" formatCode="&quot;$&quot;#,##0.00;[Red]&quot;$&quot;#,##0.00">
                  <c:v>1912.81</c:v>
                </c:pt>
                <c:pt idx="85" formatCode="&quot;$&quot;#,##0.00;[Red]&quot;$&quot;#,##0.00">
                  <c:v>1436.73</c:v>
                </c:pt>
                <c:pt idx="87" formatCode="&quot;$&quot;#,##0.00;[Red]&quot;$&quot;#,##0.00">
                  <c:v>10740.51</c:v>
                </c:pt>
                <c:pt idx="88" formatCode="&quot;$&quot;#,##0.00;[Red]&quot;$&quot;#,##0.00">
                  <c:v>114.28</c:v>
                </c:pt>
                <c:pt idx="92" formatCode="&quot;$&quot;#,##0.00;[Red]&quot;$&quot;#,##0.00">
                  <c:v>955.79</c:v>
                </c:pt>
                <c:pt idx="93" formatCode="&quot;$&quot;#,##0.00;[Red]&quot;$&quot;#,##0.00">
                  <c:v>2372.14</c:v>
                </c:pt>
                <c:pt idx="94" formatCode="&quot;$&quot;#,##0.00;[Red]&quot;$&quot;#,##0.00">
                  <c:v>2753.21</c:v>
                </c:pt>
                <c:pt idx="95" formatCode="&quot;$&quot;#,##0.00;[Red]&quot;$&quot;#,##0.00">
                  <c:v>295.11</c:v>
                </c:pt>
                <c:pt idx="96" formatCode="&quot;$&quot;#,##0.00;[Red]&quot;$&quot;#,##0.00">
                  <c:v>7899.27</c:v>
                </c:pt>
                <c:pt idx="99" formatCode="&quot;$&quot;#,##0.00;[Red]&quot;$&quot;#,##0.00">
                  <c:v>5094.5375000000004</c:v>
                </c:pt>
                <c:pt idx="100" formatCode="&quot;$&quot;#,##0.00;[Red]&quot;$&quot;#,##0.00">
                  <c:v>12377.4275</c:v>
                </c:pt>
                <c:pt idx="101" formatCode="&quot;$&quot;#,##0.00;[Red]&quot;$&quot;#,##0.00">
                  <c:v>5367.03</c:v>
                </c:pt>
                <c:pt idx="105" formatCode="&quot;$&quot;#,##0.00;[Red]&quot;$&quot;#,##0.00">
                  <c:v>8227.61</c:v>
                </c:pt>
                <c:pt idx="107" formatCode="&quot;$&quot;#,##0.00;[Red]&quot;$&quot;#,##0.00">
                  <c:v>5169</c:v>
                </c:pt>
                <c:pt idx="108" formatCode="&quot;$&quot;#,##0.00;[Red]&quot;$&quot;#,##0.00">
                  <c:v>13907.35</c:v>
                </c:pt>
                <c:pt idx="110" formatCode="&quot;$&quot;#,##0.00;[Red]&quot;$&quot;#,##0.00">
                  <c:v>7002.2</c:v>
                </c:pt>
                <c:pt idx="111" formatCode="&quot;$&quot;#,##0.00;[Red]&quot;$&quot;#,##0.00">
                  <c:v>8053.75</c:v>
                </c:pt>
                <c:pt idx="112" formatCode="&quot;$&quot;#,##0.00;[Red]&quot;$&quot;#,##0.00">
                  <c:v>283.75</c:v>
                </c:pt>
                <c:pt idx="114" formatCode="&quot;$&quot;#,##0.00;[Red]&quot;$&quot;#,##0.00">
                  <c:v>501.75</c:v>
                </c:pt>
                <c:pt idx="115" formatCode="&quot;$&quot;#,##0.00;[Red]&quot;$&quot;#,##0.00">
                  <c:v>1003.1</c:v>
                </c:pt>
                <c:pt idx="116" formatCode="&quot;$&quot;#,##0.00;[Red]&quot;$&quot;#,##0.00">
                  <c:v>3624.2</c:v>
                </c:pt>
                <c:pt idx="120" formatCode="&quot;$&quot;#,##0.00_);[Red]\(&quot;$&quot;#,##0.00\)">
                  <c:v>9979.9699999999993</c:v>
                </c:pt>
                <c:pt idx="121" formatCode="&quot;$&quot;#,##0.00_);[Red]\(&quot;$&quot;#,##0.00\)">
                  <c:v>16642.5</c:v>
                </c:pt>
                <c:pt idx="123" formatCode="&quot;$&quot;#,##0.00_);[Red]\(&quot;$&quot;#,##0.00\)">
                  <c:v>12330.5</c:v>
                </c:pt>
                <c:pt idx="124" formatCode="&quot;$&quot;#,##0.00_);[Red]\(&quot;$&quot;#,##0.00\)">
                  <c:v>870.5</c:v>
                </c:pt>
                <c:pt idx="125" formatCode="&quot;$&quot;#,##0.00_);[Red]\(&quot;$&quot;#,##0.00\)">
                  <c:v>800.94</c:v>
                </c:pt>
                <c:pt idx="126" formatCode="&quot;$&quot;#,##0.00_);[Red]\(&quot;$&quot;#,##0.00\)">
                  <c:v>7225.7</c:v>
                </c:pt>
                <c:pt idx="128" formatCode="&quot;$&quot;#,##0.00_);[Red]\(&quot;$&quot;#,##0.00\)">
                  <c:v>22136.9</c:v>
                </c:pt>
                <c:pt idx="129" formatCode="&quot;$&quot;#,##0.00_);[Red]\(&quot;$&quot;#,##0.00\)">
                  <c:v>10634.33</c:v>
                </c:pt>
                <c:pt idx="130" formatCode="&quot;$&quot;#,##0.00_);[Red]\(&quot;$&quot;#,##0.00\)">
                  <c:v>7634.08</c:v>
                </c:pt>
                <c:pt idx="131" formatCode="&quot;$&quot;#,##0.00_);[Red]\(&quot;$&quot;#,##0.00\)">
                  <c:v>3145.25</c:v>
                </c:pt>
                <c:pt idx="132" formatCode="&quot;$&quot;#,##0.00_);[Red]\(&quot;$&quot;#,##0.00\)">
                  <c:v>2023.52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7-4EF3-A41F-847AA6921308}"/>
            </c:ext>
          </c:extLst>
        </c:ser>
        <c:ser>
          <c:idx val="1"/>
          <c:order val="1"/>
          <c:tx>
            <c:strRef>
              <c:f>'June 2017'!$R$3</c:f>
              <c:strCache>
                <c:ptCount val="1"/>
                <c:pt idx="0">
                  <c:v>Losing Months</c:v>
                </c:pt>
              </c:strCache>
            </c:strRef>
          </c:tx>
          <c:spPr>
            <a:solidFill>
              <a:srgbClr val="FF0000"/>
            </a:solidFill>
            <a:ln w="19050">
              <a:solidFill>
                <a:srgbClr val="FF0000"/>
              </a:solidFill>
            </a:ln>
            <a:effectLst/>
          </c:spPr>
          <c:invertIfNegative val="0"/>
          <c:cat>
            <c:strRef>
              <c:f>'June 2017'!$P$5:$P$137</c:f>
              <c:strCache>
                <c:ptCount val="133"/>
                <c:pt idx="1">
                  <c:v>17-Apr</c:v>
                </c:pt>
                <c:pt idx="2">
                  <c:v>17-May</c:v>
                </c:pt>
                <c:pt idx="3">
                  <c:v>17-Jun</c:v>
                </c:pt>
                <c:pt idx="4">
                  <c:v>17-Jul</c:v>
                </c:pt>
                <c:pt idx="5">
                  <c:v>17-Aug</c:v>
                </c:pt>
                <c:pt idx="6">
                  <c:v>17-Sep</c:v>
                </c:pt>
                <c:pt idx="7">
                  <c:v>17-Oct</c:v>
                </c:pt>
                <c:pt idx="8">
                  <c:v>17-Nov</c:v>
                </c:pt>
                <c:pt idx="9">
                  <c:v>17-Dec</c:v>
                </c:pt>
                <c:pt idx="10">
                  <c:v>17-Jan</c:v>
                </c:pt>
                <c:pt idx="11">
                  <c:v>17-Feb</c:v>
                </c:pt>
                <c:pt idx="12">
                  <c:v>17-Mar</c:v>
                </c:pt>
                <c:pt idx="13">
                  <c:v>17-Apr</c:v>
                </c:pt>
                <c:pt idx="14">
                  <c:v>17-May</c:v>
                </c:pt>
                <c:pt idx="15">
                  <c:v>17-Jun</c:v>
                </c:pt>
                <c:pt idx="16">
                  <c:v>17-Jul</c:v>
                </c:pt>
                <c:pt idx="17">
                  <c:v>17-Aug</c:v>
                </c:pt>
                <c:pt idx="18">
                  <c:v>17-Sep</c:v>
                </c:pt>
                <c:pt idx="19">
                  <c:v>17-Oct</c:v>
                </c:pt>
                <c:pt idx="20">
                  <c:v>17-Nov</c:v>
                </c:pt>
                <c:pt idx="21">
                  <c:v>17-Dec</c:v>
                </c:pt>
                <c:pt idx="22">
                  <c:v>17-Jan</c:v>
                </c:pt>
                <c:pt idx="23">
                  <c:v>17-Feb</c:v>
                </c:pt>
                <c:pt idx="24">
                  <c:v>17-Mar</c:v>
                </c:pt>
                <c:pt idx="25">
                  <c:v>17-Apr</c:v>
                </c:pt>
                <c:pt idx="26">
                  <c:v>17-May</c:v>
                </c:pt>
                <c:pt idx="27">
                  <c:v>17-Jun</c:v>
                </c:pt>
                <c:pt idx="28">
                  <c:v>17-Jul</c:v>
                </c:pt>
                <c:pt idx="29">
                  <c:v>17-Aug</c:v>
                </c:pt>
                <c:pt idx="30">
                  <c:v>17-Sep</c:v>
                </c:pt>
                <c:pt idx="31">
                  <c:v>17-Oct</c:v>
                </c:pt>
                <c:pt idx="32">
                  <c:v>17-Nov</c:v>
                </c:pt>
                <c:pt idx="33">
                  <c:v>17-Dec</c:v>
                </c:pt>
                <c:pt idx="34">
                  <c:v>17-Jan</c:v>
                </c:pt>
                <c:pt idx="35">
                  <c:v>17-Feb</c:v>
                </c:pt>
                <c:pt idx="36">
                  <c:v>17-Mar</c:v>
                </c:pt>
                <c:pt idx="37">
                  <c:v>17-Apr</c:v>
                </c:pt>
                <c:pt idx="38">
                  <c:v>17-May</c:v>
                </c:pt>
                <c:pt idx="39">
                  <c:v>17-Jun</c:v>
                </c:pt>
                <c:pt idx="40">
                  <c:v>17-Jul</c:v>
                </c:pt>
                <c:pt idx="41">
                  <c:v>17-Aug</c:v>
                </c:pt>
                <c:pt idx="42">
                  <c:v>17-Sep</c:v>
                </c:pt>
                <c:pt idx="43">
                  <c:v>17-Oct</c:v>
                </c:pt>
                <c:pt idx="44">
                  <c:v>17-Nov</c:v>
                </c:pt>
                <c:pt idx="45">
                  <c:v>17-Dec</c:v>
                </c:pt>
                <c:pt idx="46">
                  <c:v>17-Jan</c:v>
                </c:pt>
                <c:pt idx="47">
                  <c:v>17-Feb</c:v>
                </c:pt>
                <c:pt idx="48">
                  <c:v>17-Mar</c:v>
                </c:pt>
                <c:pt idx="49">
                  <c:v>17-Apr</c:v>
                </c:pt>
                <c:pt idx="50">
                  <c:v>17-May</c:v>
                </c:pt>
                <c:pt idx="51">
                  <c:v>17-Jun</c:v>
                </c:pt>
                <c:pt idx="52">
                  <c:v>17-Jul</c:v>
                </c:pt>
                <c:pt idx="53">
                  <c:v>17-Aug</c:v>
                </c:pt>
                <c:pt idx="54">
                  <c:v>17-Sep</c:v>
                </c:pt>
                <c:pt idx="55">
                  <c:v>17-Oct</c:v>
                </c:pt>
                <c:pt idx="56">
                  <c:v>17-Nov</c:v>
                </c:pt>
                <c:pt idx="57">
                  <c:v>17-Dec</c:v>
                </c:pt>
                <c:pt idx="58">
                  <c:v>17-Jan</c:v>
                </c:pt>
                <c:pt idx="59">
                  <c:v>17-Feb</c:v>
                </c:pt>
                <c:pt idx="60">
                  <c:v>17-Mar</c:v>
                </c:pt>
                <c:pt idx="61">
                  <c:v>17-Apr</c:v>
                </c:pt>
                <c:pt idx="62">
                  <c:v>17-May</c:v>
                </c:pt>
                <c:pt idx="63">
                  <c:v>17-Jun</c:v>
                </c:pt>
                <c:pt idx="64">
                  <c:v>17-Jul</c:v>
                </c:pt>
                <c:pt idx="65">
                  <c:v>17-Aug</c:v>
                </c:pt>
                <c:pt idx="66">
                  <c:v>17-Sep</c:v>
                </c:pt>
                <c:pt idx="67">
                  <c:v>17-Oct</c:v>
                </c:pt>
                <c:pt idx="68">
                  <c:v>17-Nov</c:v>
                </c:pt>
                <c:pt idx="69">
                  <c:v>17-Dec</c:v>
                </c:pt>
                <c:pt idx="70">
                  <c:v>18-Jan</c:v>
                </c:pt>
                <c:pt idx="71">
                  <c:v>18-Feb</c:v>
                </c:pt>
                <c:pt idx="72">
                  <c:v>18-Mar</c:v>
                </c:pt>
                <c:pt idx="73">
                  <c:v>18-Apr</c:v>
                </c:pt>
                <c:pt idx="74">
                  <c:v>18-May</c:v>
                </c:pt>
                <c:pt idx="75">
                  <c:v>18-Jun</c:v>
                </c:pt>
                <c:pt idx="76">
                  <c:v>18-Jul</c:v>
                </c:pt>
                <c:pt idx="77">
                  <c:v>18-Aug</c:v>
                </c:pt>
                <c:pt idx="78">
                  <c:v>18-Sep</c:v>
                </c:pt>
                <c:pt idx="79">
                  <c:v>18-Oct</c:v>
                </c:pt>
                <c:pt idx="80">
                  <c:v>18-Nov</c:v>
                </c:pt>
                <c:pt idx="81">
                  <c:v>18-Dec</c:v>
                </c:pt>
                <c:pt idx="82">
                  <c:v>19-Jan</c:v>
                </c:pt>
                <c:pt idx="83">
                  <c:v>19-Feb</c:v>
                </c:pt>
                <c:pt idx="84">
                  <c:v>19-Mar</c:v>
                </c:pt>
                <c:pt idx="85">
                  <c:v>19-Apr</c:v>
                </c:pt>
                <c:pt idx="86">
                  <c:v>19-May</c:v>
                </c:pt>
                <c:pt idx="87">
                  <c:v>19-Jun</c:v>
                </c:pt>
                <c:pt idx="88">
                  <c:v>19-Jul</c:v>
                </c:pt>
                <c:pt idx="89">
                  <c:v>19-Aug</c:v>
                </c:pt>
                <c:pt idx="90">
                  <c:v>19-Sep</c:v>
                </c:pt>
                <c:pt idx="91">
                  <c:v>19-Oct</c:v>
                </c:pt>
                <c:pt idx="92">
                  <c:v>19-Nov</c:v>
                </c:pt>
                <c:pt idx="93">
                  <c:v>19-Dec</c:v>
                </c:pt>
                <c:pt idx="94">
                  <c:v>20-Jan</c:v>
                </c:pt>
                <c:pt idx="95">
                  <c:v>20-Feb</c:v>
                </c:pt>
                <c:pt idx="96">
                  <c:v>20-Mar</c:v>
                </c:pt>
                <c:pt idx="97">
                  <c:v>20-Apr</c:v>
                </c:pt>
                <c:pt idx="98">
                  <c:v>20-May</c:v>
                </c:pt>
                <c:pt idx="99">
                  <c:v>20-Jun</c:v>
                </c:pt>
                <c:pt idx="100">
                  <c:v>20-Jul</c:v>
                </c:pt>
                <c:pt idx="101">
                  <c:v>20-Aug</c:v>
                </c:pt>
                <c:pt idx="102">
                  <c:v>20-Sep</c:v>
                </c:pt>
                <c:pt idx="103">
                  <c:v>20-Oct</c:v>
                </c:pt>
                <c:pt idx="104">
                  <c:v>20-Nov</c:v>
                </c:pt>
                <c:pt idx="105">
                  <c:v>20-Dec</c:v>
                </c:pt>
                <c:pt idx="106">
                  <c:v>21-Jan</c:v>
                </c:pt>
                <c:pt idx="107">
                  <c:v>21-Feb</c:v>
                </c:pt>
                <c:pt idx="108">
                  <c:v>21-Mar</c:v>
                </c:pt>
                <c:pt idx="109">
                  <c:v>21-Apr</c:v>
                </c:pt>
                <c:pt idx="110">
                  <c:v>21-May</c:v>
                </c:pt>
                <c:pt idx="111">
                  <c:v>21-Jun</c:v>
                </c:pt>
                <c:pt idx="112">
                  <c:v>21-Jul</c:v>
                </c:pt>
                <c:pt idx="113">
                  <c:v>21-Aug</c:v>
                </c:pt>
                <c:pt idx="114">
                  <c:v>21-Sep</c:v>
                </c:pt>
                <c:pt idx="115">
                  <c:v>21-Oct</c:v>
                </c:pt>
                <c:pt idx="116">
                  <c:v>21-Nov</c:v>
                </c:pt>
                <c:pt idx="117">
                  <c:v>21-Dec</c:v>
                </c:pt>
                <c:pt idx="118">
                  <c:v>22-Jan</c:v>
                </c:pt>
                <c:pt idx="119">
                  <c:v>22-Feb</c:v>
                </c:pt>
                <c:pt idx="120">
                  <c:v>22-Mar</c:v>
                </c:pt>
                <c:pt idx="121">
                  <c:v>22-Apr</c:v>
                </c:pt>
                <c:pt idx="122">
                  <c:v>22-May</c:v>
                </c:pt>
                <c:pt idx="123">
                  <c:v>22-Jun</c:v>
                </c:pt>
                <c:pt idx="124">
                  <c:v>22-Jul</c:v>
                </c:pt>
                <c:pt idx="125">
                  <c:v>22-Aug</c:v>
                </c:pt>
                <c:pt idx="126">
                  <c:v>22-Sep</c:v>
                </c:pt>
                <c:pt idx="127">
                  <c:v>22-Oct</c:v>
                </c:pt>
                <c:pt idx="128">
                  <c:v>22-Nov</c:v>
                </c:pt>
                <c:pt idx="129">
                  <c:v>22-Dec</c:v>
                </c:pt>
                <c:pt idx="130">
                  <c:v>23-Jan</c:v>
                </c:pt>
                <c:pt idx="131">
                  <c:v>23-Feb</c:v>
                </c:pt>
                <c:pt idx="132">
                  <c:v>23-Mar</c:v>
                </c:pt>
              </c:strCache>
            </c:strRef>
          </c:cat>
          <c:val>
            <c:numRef>
              <c:f>'June 2017'!$R$4:$R$137</c:f>
              <c:numCache>
                <c:formatCode>General</c:formatCode>
                <c:ptCount val="134"/>
                <c:pt idx="2" formatCode="&quot;$&quot;#,##0.00_);[Red]\(&quot;$&quot;#,##0.00\)">
                  <c:v>-715.39650000000006</c:v>
                </c:pt>
                <c:pt idx="5" formatCode="&quot;$&quot;#,##0.00_);[Red]\(&quot;$&quot;#,##0.00\)">
                  <c:v>-6257.8350000000009</c:v>
                </c:pt>
                <c:pt idx="7" formatCode="&quot;$&quot;#,##0.00_);[Red]\(&quot;$&quot;#,##0.00\)">
                  <c:v>-3002.1796000000004</c:v>
                </c:pt>
                <c:pt idx="10" formatCode="&quot;$&quot;#,##0.00_);[Red]\(&quot;$&quot;#,##0.00\)">
                  <c:v>-1257.5337999999999</c:v>
                </c:pt>
                <c:pt idx="14" formatCode="&quot;$&quot;#,##0.00_);[Red]\(&quot;$&quot;#,##0.00\)">
                  <c:v>-7256.0744999999988</c:v>
                </c:pt>
                <c:pt idx="20" formatCode="&quot;$&quot;#,##0.00_);[Red]\(&quot;$&quot;#,##0.00\)">
                  <c:v>-1703.8125</c:v>
                </c:pt>
                <c:pt idx="22" formatCode="&quot;$&quot;#,##0.00_);[Red]\(&quot;$&quot;#,##0.00\)">
                  <c:v>-2153.5500000000002</c:v>
                </c:pt>
                <c:pt idx="25" formatCode="&quot;$&quot;#,##0.00_);[Red]\(&quot;$&quot;#,##0.00\)">
                  <c:v>-2057.6006000000002</c:v>
                </c:pt>
                <c:pt idx="27" formatCode="&quot;$&quot;#,##0.00_);[Red]\(&quot;$&quot;#,##0.00\)">
                  <c:v>-6842.3148000000001</c:v>
                </c:pt>
                <c:pt idx="28" formatCode="&quot;$&quot;#,##0.00_);[Red]\(&quot;$&quot;#,##0.00\)">
                  <c:v>-1002.1365</c:v>
                </c:pt>
                <c:pt idx="29" formatCode="&quot;$&quot;#,##0.00_);[Red]\(&quot;$&quot;#,##0.00\)">
                  <c:v>-1361.9288999999999</c:v>
                </c:pt>
                <c:pt idx="30" formatCode="&quot;$&quot;#,##0.00_);[Red]\(&quot;$&quot;#,##0.00\)">
                  <c:v>-1884.2174999999997</c:v>
                </c:pt>
                <c:pt idx="34" formatCode="&quot;$&quot;#,##0.00_);[Red]\(&quot;$&quot;#,##0.00\)">
                  <c:v>-2261.5475999999999</c:v>
                </c:pt>
                <c:pt idx="39" formatCode="&quot;$&quot;#,##0.00_);[Red]\(&quot;$&quot;#,##0.00\)">
                  <c:v>-3199.9274999999998</c:v>
                </c:pt>
                <c:pt idx="41" formatCode="&quot;$&quot;#,##0.00_);[Red]\(&quot;$&quot;#,##0.00\)">
                  <c:v>-2118.6750000000002</c:v>
                </c:pt>
                <c:pt idx="42" formatCode="&quot;$&quot;#,##0.00_);[Red]\(&quot;$&quot;#,##0.00\)">
                  <c:v>-898.6395</c:v>
                </c:pt>
                <c:pt idx="43" formatCode="&quot;$&quot;#,##0.00_);[Red]\(&quot;$&quot;#,##0.00\)">
                  <c:v>-4167.7310999999991</c:v>
                </c:pt>
                <c:pt idx="44" formatCode="&quot;$&quot;#,##0.00_);[Red]\(&quot;$&quot;#,##0.00\)">
                  <c:v>-976.46849999999984</c:v>
                </c:pt>
                <c:pt idx="46" formatCode="&quot;$&quot;#,##0.00_);[Red]\(&quot;$&quot;#,##0.00\)">
                  <c:v>-641.21</c:v>
                </c:pt>
                <c:pt idx="47" formatCode="&quot;$&quot;#,##0.00_);[Red]\(&quot;$&quot;#,##0.00\)">
                  <c:v>-608.48720000000003</c:v>
                </c:pt>
                <c:pt idx="49" formatCode="&quot;$&quot;#,##0.00_);[Red]\(&quot;$&quot;#,##0.00\)">
                  <c:v>-2755.7249999999999</c:v>
                </c:pt>
                <c:pt idx="51" formatCode="&quot;$&quot;#,##0.00_);[Red]\(&quot;$&quot;#,##0.00\)">
                  <c:v>-4836.3249999999998</c:v>
                </c:pt>
                <c:pt idx="55" formatCode="&quot;$&quot;#,##0.00_);[Red]\(&quot;$&quot;#,##0.00\)">
                  <c:v>-2798.1155999999996</c:v>
                </c:pt>
                <c:pt idx="57" formatCode="&quot;$&quot;#,##0.00_);[Red]\(&quot;$&quot;#,##0.00\)">
                  <c:v>-2254.6523999999999</c:v>
                </c:pt>
                <c:pt idx="58" formatCode="&quot;$&quot;#,##0.00_);[Red]\(&quot;$&quot;#,##0.00\)">
                  <c:v>-708.43920000000003</c:v>
                </c:pt>
                <c:pt idx="60" formatCode="&quot;$&quot;#,##0.00_);[Red]\(&quot;$&quot;#,##0.00\)">
                  <c:v>-1989.4033000000002</c:v>
                </c:pt>
                <c:pt idx="62" formatCode="&quot;$&quot;#,##0.00_);[Red]\(&quot;$&quot;#,##0.00\)">
                  <c:v>-1296.05</c:v>
                </c:pt>
                <c:pt idx="68" formatCode="&quot;$&quot;#,##0.00_);[Red]\(&quot;$&quot;#,##0.00\)">
                  <c:v>-1017.5625</c:v>
                </c:pt>
                <c:pt idx="69" formatCode="&quot;$&quot;#,##0.00_);[Red]\(&quot;$&quot;#,##0.00\)">
                  <c:v>-1018.97</c:v>
                </c:pt>
                <c:pt idx="70" formatCode="&quot;$&quot;#,##0.00_);[Red]\(&quot;$&quot;#,##0.00\)">
                  <c:v>-4525.5</c:v>
                </c:pt>
                <c:pt idx="72" formatCode="&quot;$&quot;#,##0.00_);[Red]\(&quot;$&quot;#,##0.00\)">
                  <c:v>-5179.8891000000003</c:v>
                </c:pt>
                <c:pt idx="73" formatCode="&quot;$&quot;#,##0.00_);[Red]\(&quot;$&quot;#,##0.00\)">
                  <c:v>-3301.4300000000003</c:v>
                </c:pt>
                <c:pt idx="77" formatCode="&quot;$&quot;#,##0.00_);[Red]\(&quot;$&quot;#,##0.00\)">
                  <c:v>-3060.6400000000003</c:v>
                </c:pt>
                <c:pt idx="87" formatCode="&quot;$&quot;#,##0.00_);[Red]\(&quot;$&quot;#,##0.00\)">
                  <c:v>-1106.29</c:v>
                </c:pt>
                <c:pt idx="90" formatCode="&quot;$&quot;#,##0.00_);[Red]\(&quot;$&quot;#,##0.00\)">
                  <c:v>-1987.46</c:v>
                </c:pt>
                <c:pt idx="91" formatCode="&quot;$&quot;#,##0.00_);[Red]\(&quot;$&quot;#,##0.00\)">
                  <c:v>-579.26199999999994</c:v>
                </c:pt>
                <c:pt idx="92" formatCode="&quot;$&quot;#,##0.00_);[Red]\(&quot;$&quot;#,##0.00\)">
                  <c:v>-2544.34</c:v>
                </c:pt>
                <c:pt idx="98" formatCode="&quot;$&quot;#,##0.00_);[Red]\(&quot;$&quot;#,##0.00\)">
                  <c:v>-3163.38</c:v>
                </c:pt>
                <c:pt idx="99" formatCode="&quot;$&quot;#,##0.00_);[Red]\(&quot;$&quot;#,##0.00\)">
                  <c:v>-397.28</c:v>
                </c:pt>
                <c:pt idx="103" formatCode="&quot;$&quot;#,##0.00_);[Red]\(&quot;$&quot;#,##0.00\)">
                  <c:v>-3755.55</c:v>
                </c:pt>
                <c:pt idx="104" formatCode="&quot;$&quot;#,##0.00_);[Red]\(&quot;$&quot;#,##0.00\)">
                  <c:v>-893.21</c:v>
                </c:pt>
                <c:pt idx="105" formatCode="&quot;$&quot;#,##0.00_);[Red]\(&quot;$&quot;#,##0.00\)">
                  <c:v>-2043.47</c:v>
                </c:pt>
                <c:pt idx="107" formatCode="&quot;$&quot;#,##0.00_);[Red]\(&quot;$&quot;#,##0.00\)">
                  <c:v>-2036.74</c:v>
                </c:pt>
                <c:pt idx="110" formatCode="&quot;$&quot;#,##0.00_);[Red]\(&quot;$&quot;#,##0.00\)">
                  <c:v>-722.14</c:v>
                </c:pt>
                <c:pt idx="114" formatCode="&quot;$&quot;#,##0.00;[Red]&quot;$&quot;#,##0.00">
                  <c:v>-6561.2250000000004</c:v>
                </c:pt>
                <c:pt idx="118" formatCode="&quot;$&quot;#,##0.00;[Red]&quot;$&quot;#,##0.00">
                  <c:v>-1790.13</c:v>
                </c:pt>
                <c:pt idx="119" formatCode="&quot;$&quot;#,##0.00_);[Red]\(&quot;$&quot;#,##0.00\)">
                  <c:v>-985</c:v>
                </c:pt>
                <c:pt idx="120" formatCode="&quot;$&quot;#,##0.00_);[Red]\(&quot;$&quot;#,##0.00\)">
                  <c:v>-4690.5</c:v>
                </c:pt>
                <c:pt idx="123" formatCode="&quot;$&quot;#,##0.00_);[Red]\(&quot;$&quot;#,##0.00\)">
                  <c:v>-1886.38</c:v>
                </c:pt>
                <c:pt idx="128" formatCode="&quot;$&quot;#,##0.00_);[Red]\(&quot;$&quot;#,##0.00\)">
                  <c:v>-1550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37-4EF3-A41F-847AA6921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5954768"/>
        <c:axId val="535957392"/>
      </c:barChart>
      <c:catAx>
        <c:axId val="535954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35957392"/>
        <c:crosses val="autoZero"/>
        <c:auto val="1"/>
        <c:lblAlgn val="ctr"/>
        <c:lblOffset val="100"/>
        <c:noMultiLvlLbl val="0"/>
      </c:catAx>
      <c:valAx>
        <c:axId val="535957392"/>
        <c:scaling>
          <c:orientation val="minMax"/>
          <c:max val="25000"/>
          <c:min val="-7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;[Red]&quot;$&quot;#,##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954768"/>
        <c:crosses val="autoZero"/>
        <c:crossBetween val="between"/>
        <c:majorUnit val="5000"/>
      </c:valAx>
      <c:spPr>
        <a:pattFill prst="smGrid">
          <a:fgClr>
            <a:schemeClr val="bg1">
              <a:lumMod val="95000"/>
            </a:schemeClr>
          </a:fgClr>
          <a:bgClr>
            <a:schemeClr val="bg1"/>
          </a:bgClr>
        </a:patt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540148676384007"/>
          <c:y val="0.77725071322606409"/>
          <c:w val="0.6248019940903613"/>
          <c:h val="0.222749732760313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148833871424"/>
          <c:y val="5.4425617978924923E-2"/>
          <c:w val="0.86606218002197588"/>
          <c:h val="0.81797342994725653"/>
        </c:manualLayout>
      </c:layout>
      <c:areaChart>
        <c:grouping val="stacked"/>
        <c:varyColors val="0"/>
        <c:ser>
          <c:idx val="0"/>
          <c:order val="0"/>
          <c:tx>
            <c:strRef>
              <c:f>'June 2017'!$O$3:$O$4</c:f>
              <c:strCache>
                <c:ptCount val="2"/>
                <c:pt idx="0">
                  <c:v>Cumulative Net Profit Trading One Unit</c:v>
                </c:pt>
              </c:strCache>
            </c:strRef>
          </c:tx>
          <c:spPr>
            <a:solidFill>
              <a:srgbClr val="002060">
                <a:alpha val="25000"/>
              </a:srgbClr>
            </a:solidFill>
            <a:ln w="25400" cmpd="dbl">
              <a:solidFill>
                <a:schemeClr val="tx1"/>
              </a:solidFill>
            </a:ln>
            <a:effectLst/>
          </c:spPr>
          <c:cat>
            <c:strRef>
              <c:f>'June 2017'!$N$5:$N$137</c:f>
              <c:strCache>
                <c:ptCount val="133"/>
                <c:pt idx="1">
                  <c:v>17-Apr</c:v>
                </c:pt>
                <c:pt idx="2">
                  <c:v>17-May</c:v>
                </c:pt>
                <c:pt idx="3">
                  <c:v>17-Jun</c:v>
                </c:pt>
                <c:pt idx="4">
                  <c:v>17-Jul</c:v>
                </c:pt>
                <c:pt idx="5">
                  <c:v>17-Aug</c:v>
                </c:pt>
                <c:pt idx="6">
                  <c:v>17-Sep</c:v>
                </c:pt>
                <c:pt idx="7">
                  <c:v>17-Oct</c:v>
                </c:pt>
                <c:pt idx="8">
                  <c:v>17-Nov</c:v>
                </c:pt>
                <c:pt idx="9">
                  <c:v>17-Dec</c:v>
                </c:pt>
                <c:pt idx="10">
                  <c:v>17-Jan</c:v>
                </c:pt>
                <c:pt idx="11">
                  <c:v>17-Feb</c:v>
                </c:pt>
                <c:pt idx="12">
                  <c:v>17-Mar</c:v>
                </c:pt>
                <c:pt idx="13">
                  <c:v>17-Apr</c:v>
                </c:pt>
                <c:pt idx="14">
                  <c:v>17-May</c:v>
                </c:pt>
                <c:pt idx="15">
                  <c:v>17-Jun</c:v>
                </c:pt>
                <c:pt idx="16">
                  <c:v>17-Jul</c:v>
                </c:pt>
                <c:pt idx="17">
                  <c:v>17-Aug</c:v>
                </c:pt>
                <c:pt idx="18">
                  <c:v>17-Sep</c:v>
                </c:pt>
                <c:pt idx="19">
                  <c:v>17-Oct</c:v>
                </c:pt>
                <c:pt idx="20">
                  <c:v>17-Nov</c:v>
                </c:pt>
                <c:pt idx="21">
                  <c:v>17-Dec</c:v>
                </c:pt>
                <c:pt idx="22">
                  <c:v>17-Jan</c:v>
                </c:pt>
                <c:pt idx="23">
                  <c:v>17-Feb</c:v>
                </c:pt>
                <c:pt idx="24">
                  <c:v>17-Mar</c:v>
                </c:pt>
                <c:pt idx="25">
                  <c:v>17-Apr</c:v>
                </c:pt>
                <c:pt idx="26">
                  <c:v>17-May</c:v>
                </c:pt>
                <c:pt idx="27">
                  <c:v>17-Jun</c:v>
                </c:pt>
                <c:pt idx="28">
                  <c:v>17-Jul</c:v>
                </c:pt>
                <c:pt idx="29">
                  <c:v>17-Aug</c:v>
                </c:pt>
                <c:pt idx="30">
                  <c:v>17-Sep</c:v>
                </c:pt>
                <c:pt idx="31">
                  <c:v>17-Oct</c:v>
                </c:pt>
                <c:pt idx="32">
                  <c:v>17-Nov</c:v>
                </c:pt>
                <c:pt idx="33">
                  <c:v>17-Dec</c:v>
                </c:pt>
                <c:pt idx="34">
                  <c:v>17-Jan</c:v>
                </c:pt>
                <c:pt idx="35">
                  <c:v>17-Feb</c:v>
                </c:pt>
                <c:pt idx="36">
                  <c:v>17-Mar</c:v>
                </c:pt>
                <c:pt idx="37">
                  <c:v>17-Apr</c:v>
                </c:pt>
                <c:pt idx="38">
                  <c:v>17-May</c:v>
                </c:pt>
                <c:pt idx="39">
                  <c:v>17-Jun</c:v>
                </c:pt>
                <c:pt idx="40">
                  <c:v>17-Jul</c:v>
                </c:pt>
                <c:pt idx="41">
                  <c:v>17-Aug</c:v>
                </c:pt>
                <c:pt idx="42">
                  <c:v>17-Sep</c:v>
                </c:pt>
                <c:pt idx="43">
                  <c:v>17-Oct</c:v>
                </c:pt>
                <c:pt idx="44">
                  <c:v>17-Nov</c:v>
                </c:pt>
                <c:pt idx="45">
                  <c:v>17-Dec</c:v>
                </c:pt>
                <c:pt idx="46">
                  <c:v>17-Jan</c:v>
                </c:pt>
                <c:pt idx="47">
                  <c:v>17-Feb</c:v>
                </c:pt>
                <c:pt idx="48">
                  <c:v>17-Mar</c:v>
                </c:pt>
                <c:pt idx="49">
                  <c:v>17-Apr</c:v>
                </c:pt>
                <c:pt idx="50">
                  <c:v>17-May</c:v>
                </c:pt>
                <c:pt idx="51">
                  <c:v>17-Jun</c:v>
                </c:pt>
                <c:pt idx="52">
                  <c:v>17-Jul</c:v>
                </c:pt>
                <c:pt idx="53">
                  <c:v>17-Aug</c:v>
                </c:pt>
                <c:pt idx="54">
                  <c:v>17-Sep</c:v>
                </c:pt>
                <c:pt idx="55">
                  <c:v>17-Oct</c:v>
                </c:pt>
                <c:pt idx="56">
                  <c:v>17-Nov</c:v>
                </c:pt>
                <c:pt idx="57">
                  <c:v>17-Dec</c:v>
                </c:pt>
                <c:pt idx="58">
                  <c:v>17-Jan</c:v>
                </c:pt>
                <c:pt idx="59">
                  <c:v>17-Feb</c:v>
                </c:pt>
                <c:pt idx="60">
                  <c:v>17-Mar</c:v>
                </c:pt>
                <c:pt idx="61">
                  <c:v>17-Apr</c:v>
                </c:pt>
                <c:pt idx="62">
                  <c:v>17-May</c:v>
                </c:pt>
                <c:pt idx="63">
                  <c:v>17-Jun</c:v>
                </c:pt>
                <c:pt idx="64">
                  <c:v>17-Jul</c:v>
                </c:pt>
                <c:pt idx="65">
                  <c:v>17-Aug</c:v>
                </c:pt>
                <c:pt idx="66">
                  <c:v>17-Sep</c:v>
                </c:pt>
                <c:pt idx="67">
                  <c:v>17-Oct</c:v>
                </c:pt>
                <c:pt idx="68">
                  <c:v>17-Nov</c:v>
                </c:pt>
                <c:pt idx="69">
                  <c:v>17-Dec</c:v>
                </c:pt>
                <c:pt idx="70">
                  <c:v>18-Jan</c:v>
                </c:pt>
                <c:pt idx="71">
                  <c:v>18-Feb</c:v>
                </c:pt>
                <c:pt idx="72">
                  <c:v>18-Mar</c:v>
                </c:pt>
                <c:pt idx="73">
                  <c:v>18-Apr</c:v>
                </c:pt>
                <c:pt idx="74">
                  <c:v>18-May</c:v>
                </c:pt>
                <c:pt idx="75">
                  <c:v>18-Jun</c:v>
                </c:pt>
                <c:pt idx="76">
                  <c:v>18-Jul</c:v>
                </c:pt>
                <c:pt idx="77">
                  <c:v>18-Aug</c:v>
                </c:pt>
                <c:pt idx="78">
                  <c:v>18-Sep</c:v>
                </c:pt>
                <c:pt idx="79">
                  <c:v>18-Oct</c:v>
                </c:pt>
                <c:pt idx="80">
                  <c:v>18-Nov</c:v>
                </c:pt>
                <c:pt idx="81">
                  <c:v>18-Dec</c:v>
                </c:pt>
                <c:pt idx="82">
                  <c:v>19-Jan</c:v>
                </c:pt>
                <c:pt idx="83">
                  <c:v>19-Feb</c:v>
                </c:pt>
                <c:pt idx="84">
                  <c:v>19-Mar</c:v>
                </c:pt>
                <c:pt idx="85">
                  <c:v>19-Apr</c:v>
                </c:pt>
                <c:pt idx="86">
                  <c:v>19-May</c:v>
                </c:pt>
                <c:pt idx="87">
                  <c:v>19-Jun</c:v>
                </c:pt>
                <c:pt idx="88">
                  <c:v>19-Jul</c:v>
                </c:pt>
                <c:pt idx="89">
                  <c:v>19-Aug</c:v>
                </c:pt>
                <c:pt idx="90">
                  <c:v>19-Sep</c:v>
                </c:pt>
                <c:pt idx="91">
                  <c:v>19-Oct</c:v>
                </c:pt>
                <c:pt idx="92">
                  <c:v>19-Nov</c:v>
                </c:pt>
                <c:pt idx="93">
                  <c:v>19-Dec</c:v>
                </c:pt>
                <c:pt idx="94">
                  <c:v>20-Jan</c:v>
                </c:pt>
                <c:pt idx="95">
                  <c:v>20-Feb</c:v>
                </c:pt>
                <c:pt idx="96">
                  <c:v>20-Mar</c:v>
                </c:pt>
                <c:pt idx="97">
                  <c:v>20-Apr</c:v>
                </c:pt>
                <c:pt idx="98">
                  <c:v>20-May</c:v>
                </c:pt>
                <c:pt idx="99">
                  <c:v>20-Jun</c:v>
                </c:pt>
                <c:pt idx="100">
                  <c:v>20-Jul</c:v>
                </c:pt>
                <c:pt idx="101">
                  <c:v>20-Aug</c:v>
                </c:pt>
                <c:pt idx="102">
                  <c:v>20-Sep</c:v>
                </c:pt>
                <c:pt idx="103">
                  <c:v>20-Oct</c:v>
                </c:pt>
                <c:pt idx="104">
                  <c:v>20-Nov</c:v>
                </c:pt>
                <c:pt idx="105">
                  <c:v>20-Dec</c:v>
                </c:pt>
                <c:pt idx="106">
                  <c:v>21-Jan</c:v>
                </c:pt>
                <c:pt idx="107">
                  <c:v>21-Feb</c:v>
                </c:pt>
                <c:pt idx="108">
                  <c:v>21-Mar</c:v>
                </c:pt>
                <c:pt idx="109">
                  <c:v>21-Apr</c:v>
                </c:pt>
                <c:pt idx="110">
                  <c:v>21-May</c:v>
                </c:pt>
                <c:pt idx="111">
                  <c:v>21-Jun</c:v>
                </c:pt>
                <c:pt idx="112">
                  <c:v>21-Jul</c:v>
                </c:pt>
                <c:pt idx="113">
                  <c:v>21-Aug</c:v>
                </c:pt>
                <c:pt idx="114">
                  <c:v>21-Sep</c:v>
                </c:pt>
                <c:pt idx="115">
                  <c:v>21-Oct</c:v>
                </c:pt>
                <c:pt idx="116">
                  <c:v>21-Nov</c:v>
                </c:pt>
                <c:pt idx="117">
                  <c:v>21-Dec</c:v>
                </c:pt>
                <c:pt idx="118">
                  <c:v>22-Jan</c:v>
                </c:pt>
                <c:pt idx="119">
                  <c:v>22-Feb</c:v>
                </c:pt>
                <c:pt idx="120">
                  <c:v>22-Mar</c:v>
                </c:pt>
                <c:pt idx="121">
                  <c:v>22-Apr</c:v>
                </c:pt>
                <c:pt idx="122">
                  <c:v>22-May</c:v>
                </c:pt>
                <c:pt idx="123">
                  <c:v>22-Jun</c:v>
                </c:pt>
                <c:pt idx="124">
                  <c:v>22-Jul</c:v>
                </c:pt>
                <c:pt idx="125">
                  <c:v>22-Aug</c:v>
                </c:pt>
                <c:pt idx="126">
                  <c:v>22-Sep</c:v>
                </c:pt>
                <c:pt idx="127">
                  <c:v>22-Oct</c:v>
                </c:pt>
                <c:pt idx="128">
                  <c:v>22-Nov</c:v>
                </c:pt>
                <c:pt idx="129">
                  <c:v>22-Dec</c:v>
                </c:pt>
                <c:pt idx="130">
                  <c:v>23-Jan</c:v>
                </c:pt>
                <c:pt idx="131">
                  <c:v>23-Feb</c:v>
                </c:pt>
                <c:pt idx="132">
                  <c:v>23-Mar</c:v>
                </c:pt>
              </c:strCache>
            </c:strRef>
          </c:cat>
          <c:val>
            <c:numRef>
              <c:f>'June 2017'!$O$4:$O$137</c:f>
              <c:numCache>
                <c:formatCode>"$"#,##0.00;[Red]\-"$"#,##0.00</c:formatCode>
                <c:ptCount val="134"/>
                <c:pt idx="2">
                  <c:v>-715.39650000000006</c:v>
                </c:pt>
                <c:pt idx="3">
                  <c:v>9249.7334999999985</c:v>
                </c:pt>
                <c:pt idx="4">
                  <c:v>10804.679199999999</c:v>
                </c:pt>
                <c:pt idx="5">
                  <c:v>4546.8441999999977</c:v>
                </c:pt>
                <c:pt idx="6">
                  <c:v>11417.948799999998</c:v>
                </c:pt>
                <c:pt idx="7">
                  <c:v>8415.7691999999988</c:v>
                </c:pt>
                <c:pt idx="8">
                  <c:v>10161.026699999999</c:v>
                </c:pt>
                <c:pt idx="9">
                  <c:v>15380.375899999999</c:v>
                </c:pt>
                <c:pt idx="10">
                  <c:v>14122.8421</c:v>
                </c:pt>
                <c:pt idx="11">
                  <c:v>15686.214899999999</c:v>
                </c:pt>
                <c:pt idx="12">
                  <c:v>22703.558999999997</c:v>
                </c:pt>
                <c:pt idx="13">
                  <c:v>30362.719599999997</c:v>
                </c:pt>
                <c:pt idx="14">
                  <c:v>23106.645099999998</c:v>
                </c:pt>
                <c:pt idx="15">
                  <c:v>26520.660099999997</c:v>
                </c:pt>
                <c:pt idx="16">
                  <c:v>30925.859699999997</c:v>
                </c:pt>
                <c:pt idx="17">
                  <c:v>36616.072799999994</c:v>
                </c:pt>
                <c:pt idx="18">
                  <c:v>38329.556699999994</c:v>
                </c:pt>
                <c:pt idx="19">
                  <c:v>40833.456699999995</c:v>
                </c:pt>
                <c:pt idx="20">
                  <c:v>39129.644199999995</c:v>
                </c:pt>
                <c:pt idx="21">
                  <c:v>41092.904199999997</c:v>
                </c:pt>
                <c:pt idx="22">
                  <c:v>38939.354199999994</c:v>
                </c:pt>
                <c:pt idx="23">
                  <c:v>40321.477799999993</c:v>
                </c:pt>
                <c:pt idx="24">
                  <c:v>43029.727799999993</c:v>
                </c:pt>
                <c:pt idx="25">
                  <c:v>40972.127199999995</c:v>
                </c:pt>
                <c:pt idx="26">
                  <c:v>42182.931199999992</c:v>
                </c:pt>
                <c:pt idx="27">
                  <c:v>35340.616399999992</c:v>
                </c:pt>
                <c:pt idx="28">
                  <c:v>34338.479899999991</c:v>
                </c:pt>
                <c:pt idx="29">
                  <c:v>32976.550999999992</c:v>
                </c:pt>
                <c:pt idx="30">
                  <c:v>31092.333499999993</c:v>
                </c:pt>
                <c:pt idx="31">
                  <c:v>36876.138899999991</c:v>
                </c:pt>
                <c:pt idx="32">
                  <c:v>41419.657799999994</c:v>
                </c:pt>
                <c:pt idx="33">
                  <c:v>52346.645499999991</c:v>
                </c:pt>
                <c:pt idx="34">
                  <c:v>50085.097899999993</c:v>
                </c:pt>
                <c:pt idx="35">
                  <c:v>54248.381099999991</c:v>
                </c:pt>
                <c:pt idx="36">
                  <c:v>56516.559399999991</c:v>
                </c:pt>
                <c:pt idx="37">
                  <c:v>57738.480099999993</c:v>
                </c:pt>
                <c:pt idx="38">
                  <c:v>64658.382599999997</c:v>
                </c:pt>
                <c:pt idx="39">
                  <c:v>61458.455099999999</c:v>
                </c:pt>
                <c:pt idx="40">
                  <c:v>76719.95259999999</c:v>
                </c:pt>
                <c:pt idx="41">
                  <c:v>74601.277599999987</c:v>
                </c:pt>
                <c:pt idx="42">
                  <c:v>73702.638099999982</c:v>
                </c:pt>
                <c:pt idx="43">
                  <c:v>69534.906999999977</c:v>
                </c:pt>
                <c:pt idx="44">
                  <c:v>68558.438499999975</c:v>
                </c:pt>
                <c:pt idx="45">
                  <c:v>74750.924099999975</c:v>
                </c:pt>
                <c:pt idx="46">
                  <c:v>74109.714099999968</c:v>
                </c:pt>
                <c:pt idx="47">
                  <c:v>73501.226899999965</c:v>
                </c:pt>
                <c:pt idx="48">
                  <c:v>82419.519399999961</c:v>
                </c:pt>
                <c:pt idx="49">
                  <c:v>79663.794399999955</c:v>
                </c:pt>
                <c:pt idx="50">
                  <c:v>85869.124999999956</c:v>
                </c:pt>
                <c:pt idx="51">
                  <c:v>81032.799999999959</c:v>
                </c:pt>
                <c:pt idx="52">
                  <c:v>89074.240399999966</c:v>
                </c:pt>
                <c:pt idx="53">
                  <c:v>93915.880699999965</c:v>
                </c:pt>
                <c:pt idx="54">
                  <c:v>99473.665099999969</c:v>
                </c:pt>
                <c:pt idx="55">
                  <c:v>96675.549499999965</c:v>
                </c:pt>
                <c:pt idx="56">
                  <c:v>102890.53279999997</c:v>
                </c:pt>
                <c:pt idx="57">
                  <c:v>100635.88039999997</c:v>
                </c:pt>
                <c:pt idx="58">
                  <c:v>99927.441199999972</c:v>
                </c:pt>
                <c:pt idx="59">
                  <c:v>111038.28279999997</c:v>
                </c:pt>
                <c:pt idx="60">
                  <c:v>109048.87949999997</c:v>
                </c:pt>
                <c:pt idx="61">
                  <c:v>111837.23129999997</c:v>
                </c:pt>
                <c:pt idx="62">
                  <c:v>110541.18129999997</c:v>
                </c:pt>
                <c:pt idx="63">
                  <c:v>111007.09509999996</c:v>
                </c:pt>
                <c:pt idx="64">
                  <c:v>113102.99169999996</c:v>
                </c:pt>
                <c:pt idx="65">
                  <c:v>118017.68919999995</c:v>
                </c:pt>
                <c:pt idx="66">
                  <c:v>121653.12669999995</c:v>
                </c:pt>
                <c:pt idx="67">
                  <c:v>126094.36419999995</c:v>
                </c:pt>
                <c:pt idx="68">
                  <c:v>125076.80169999995</c:v>
                </c:pt>
                <c:pt idx="69">
                  <c:v>124057.83169999995</c:v>
                </c:pt>
                <c:pt idx="70">
                  <c:v>119532.33169999995</c:v>
                </c:pt>
                <c:pt idx="71">
                  <c:v>134037.91879999996</c:v>
                </c:pt>
                <c:pt idx="72">
                  <c:v>128858.02969999996</c:v>
                </c:pt>
                <c:pt idx="73">
                  <c:v>125556.59969999996</c:v>
                </c:pt>
                <c:pt idx="74">
                  <c:v>136445.08379999996</c:v>
                </c:pt>
                <c:pt idx="75">
                  <c:v>142349.80379999997</c:v>
                </c:pt>
                <c:pt idx="76">
                  <c:v>145192.67459999997</c:v>
                </c:pt>
                <c:pt idx="77">
                  <c:v>142132.03459999996</c:v>
                </c:pt>
                <c:pt idx="78">
                  <c:v>143243.98879999996</c:v>
                </c:pt>
                <c:pt idx="79">
                  <c:v>144370.52959999995</c:v>
                </c:pt>
                <c:pt idx="80">
                  <c:v>147317.64959999995</c:v>
                </c:pt>
                <c:pt idx="81">
                  <c:v>150254.08959999995</c:v>
                </c:pt>
                <c:pt idx="82">
                  <c:v>159469.53959999996</c:v>
                </c:pt>
                <c:pt idx="83">
                  <c:v>160675.78959999996</c:v>
                </c:pt>
                <c:pt idx="84">
                  <c:v>163457.17959999997</c:v>
                </c:pt>
                <c:pt idx="85">
                  <c:v>165369.98959999997</c:v>
                </c:pt>
                <c:pt idx="86">
                  <c:v>166806.71959999998</c:v>
                </c:pt>
                <c:pt idx="87">
                  <c:v>165700.42959999997</c:v>
                </c:pt>
                <c:pt idx="88">
                  <c:v>176440.93959999998</c:v>
                </c:pt>
                <c:pt idx="89">
                  <c:v>176555.21959999998</c:v>
                </c:pt>
                <c:pt idx="90">
                  <c:v>174567.75959999999</c:v>
                </c:pt>
                <c:pt idx="91">
                  <c:v>173988.4976</c:v>
                </c:pt>
                <c:pt idx="92">
                  <c:v>171444.15760000001</c:v>
                </c:pt>
                <c:pt idx="93">
                  <c:v>172399.94760000001</c:v>
                </c:pt>
                <c:pt idx="94">
                  <c:v>174772.08760000003</c:v>
                </c:pt>
                <c:pt idx="95">
                  <c:v>177525.29760000002</c:v>
                </c:pt>
                <c:pt idx="96">
                  <c:v>177820.40760000001</c:v>
                </c:pt>
                <c:pt idx="97">
                  <c:v>185719.6776</c:v>
                </c:pt>
                <c:pt idx="98">
                  <c:v>182556.29759999999</c:v>
                </c:pt>
                <c:pt idx="99">
                  <c:v>182159.01759999999</c:v>
                </c:pt>
                <c:pt idx="100">
                  <c:v>187253.5551</c:v>
                </c:pt>
                <c:pt idx="101">
                  <c:v>199630.98259999999</c:v>
                </c:pt>
                <c:pt idx="102">
                  <c:v>204998.01259999999</c:v>
                </c:pt>
                <c:pt idx="103">
                  <c:v>201242.4626</c:v>
                </c:pt>
                <c:pt idx="104">
                  <c:v>200349.25260000001</c:v>
                </c:pt>
                <c:pt idx="105">
                  <c:v>198305.78260000001</c:v>
                </c:pt>
                <c:pt idx="106">
                  <c:v>206533.39260000002</c:v>
                </c:pt>
                <c:pt idx="107">
                  <c:v>204496.65260000003</c:v>
                </c:pt>
                <c:pt idx="108">
                  <c:v>209665.65260000003</c:v>
                </c:pt>
                <c:pt idx="109">
                  <c:v>223573.00260000004</c:v>
                </c:pt>
                <c:pt idx="110">
                  <c:v>222850.86260000002</c:v>
                </c:pt>
                <c:pt idx="111">
                  <c:v>229853.06260000003</c:v>
                </c:pt>
                <c:pt idx="112">
                  <c:v>237906.81260000003</c:v>
                </c:pt>
                <c:pt idx="113">
                  <c:v>238190.56260000003</c:v>
                </c:pt>
                <c:pt idx="114">
                  <c:v>231629.33760000003</c:v>
                </c:pt>
                <c:pt idx="115">
                  <c:v>232131.08760000003</c:v>
                </c:pt>
                <c:pt idx="116">
                  <c:v>233134.18760000003</c:v>
                </c:pt>
                <c:pt idx="117">
                  <c:v>236758.38760000005</c:v>
                </c:pt>
                <c:pt idx="118">
                  <c:v>234968.25760000004</c:v>
                </c:pt>
                <c:pt idx="119">
                  <c:v>233983.25760000004</c:v>
                </c:pt>
                <c:pt idx="120">
                  <c:v>229292.75760000004</c:v>
                </c:pt>
                <c:pt idx="121">
                  <c:v>239272.72760000004</c:v>
                </c:pt>
                <c:pt idx="122">
                  <c:v>255915.22760000004</c:v>
                </c:pt>
                <c:pt idx="123">
                  <c:v>254028.84760000004</c:v>
                </c:pt>
                <c:pt idx="124">
                  <c:v>266359.34760000004</c:v>
                </c:pt>
                <c:pt idx="125">
                  <c:v>267229.84760000004</c:v>
                </c:pt>
                <c:pt idx="126">
                  <c:v>268030.78760000004</c:v>
                </c:pt>
                <c:pt idx="127">
                  <c:v>275256.48760000005</c:v>
                </c:pt>
                <c:pt idx="128">
                  <c:v>273706.48760000005</c:v>
                </c:pt>
                <c:pt idx="129">
                  <c:v>295843.38760000007</c:v>
                </c:pt>
                <c:pt idx="130">
                  <c:v>306477.71760000009</c:v>
                </c:pt>
                <c:pt idx="131">
                  <c:v>314111.79760000011</c:v>
                </c:pt>
                <c:pt idx="132">
                  <c:v>317257.04760000011</c:v>
                </c:pt>
                <c:pt idx="133">
                  <c:v>319280.56760000013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C1-45CA-96ED-F4B7FDE91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267864"/>
        <c:axId val="666270488"/>
      </c:areaChart>
      <c:catAx>
        <c:axId val="666267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270488"/>
        <c:crosses val="autoZero"/>
        <c:auto val="1"/>
        <c:lblAlgn val="ctr"/>
        <c:lblOffset val="100"/>
        <c:tickLblSkip val="3"/>
        <c:noMultiLvlLbl val="0"/>
      </c:catAx>
      <c:valAx>
        <c:axId val="6662704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267864"/>
        <c:crosses val="autoZero"/>
        <c:crossBetween val="midCat"/>
        <c:majorUnit val="20000"/>
      </c:valAx>
      <c:spPr>
        <a:pattFill prst="smGrid">
          <a:fgClr>
            <a:schemeClr val="bg1">
              <a:lumMod val="95000"/>
            </a:schemeClr>
          </a:fgClr>
          <a:bgClr>
            <a:schemeClr val="bg1"/>
          </a:bgClr>
        </a:pattFill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g"/><Relationship Id="rId1" Type="http://schemas.openxmlformats.org/officeDocument/2006/relationships/chart" Target="../charts/chart1.xm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916782</xdr:colOff>
      <xdr:row>167</xdr:row>
      <xdr:rowOff>47624</xdr:rowOff>
    </xdr:from>
    <xdr:to>
      <xdr:col>26</xdr:col>
      <xdr:colOff>23812</xdr:colOff>
      <xdr:row>177</xdr:row>
      <xdr:rowOff>154780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92FFE84-82ED-4B43-86CF-E9902018C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32</xdr:col>
      <xdr:colOff>28576</xdr:colOff>
      <xdr:row>131</xdr:row>
      <xdr:rowOff>57150</xdr:rowOff>
    </xdr:from>
    <xdr:to>
      <xdr:col>42</xdr:col>
      <xdr:colOff>257175</xdr:colOff>
      <xdr:row>156</xdr:row>
      <xdr:rowOff>157161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27B3C8A-E1B0-46BC-8ED7-F7EC20F77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1" y="26250900"/>
          <a:ext cx="6324600" cy="5229225"/>
        </a:xfrm>
        <a:prstGeom prst="rect">
          <a:avLst/>
        </a:prstGeom>
      </xdr:spPr>
    </xdr:pic>
    <xdr:clientData/>
  </xdr:twoCellAnchor>
  <xdr:twoCellAnchor>
    <xdr:from>
      <xdr:col>14</xdr:col>
      <xdr:colOff>923923</xdr:colOff>
      <xdr:row>145</xdr:row>
      <xdr:rowOff>83343</xdr:rowOff>
    </xdr:from>
    <xdr:to>
      <xdr:col>26</xdr:col>
      <xdr:colOff>35720</xdr:colOff>
      <xdr:row>167</xdr:row>
      <xdr:rowOff>47625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456185E-BF88-401F-9411-C249E0CC7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16</xdr:col>
      <xdr:colOff>409575</xdr:colOff>
      <xdr:row>212</xdr:row>
      <xdr:rowOff>114300</xdr:rowOff>
    </xdr:from>
    <xdr:to>
      <xdr:col>25</xdr:col>
      <xdr:colOff>257176</xdr:colOff>
      <xdr:row>234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4B7790-D403-434D-9BA4-F4944FDD5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7821394"/>
          <a:ext cx="6384132" cy="5112544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0.10729</cdr:x>
      <cdr:y>0.05805</cdr:y>
    </cdr:from>
    <cdr:to>
      <cdr:x>0.96146</cdr:x>
      <cdr:y>0.18868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49029F1-0F63-4F1E-A5ED-F721D35F5C6A}"/>
            </a:ext>
          </a:extLst>
        </cdr:cNvPr>
        <cdr:cNvSpPr txBox="1"/>
      </cdr:nvSpPr>
      <cdr:spPr>
        <a:xfrm xmlns:a="http://schemas.openxmlformats.org/drawingml/2006/main">
          <a:off x="879377" y="256421"/>
          <a:ext cx="7001005" cy="577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sz="2000">
              <a:solidFill>
                <a:schemeClr val="bg1">
                  <a:lumMod val="85000"/>
                </a:schemeClr>
              </a:solidFill>
            </a:rPr>
            <a:t>Peter Knight Advisor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archart.com/forex/quotes/%5EGBPUSD/technical-chart?plot=CANDLE&amp;volume=0&amp;data=DO&amp;density=L&amp;pricesOn=1&amp;asPctChange=0&amp;logscale=0&amp;indicators=BBANDS(20,2);EXPMA(9);EXPMA(4.5);EXPMA(18)&amp;sym=%5EGBPUSD&amp;grid=1&amp;height=625&amp;studyheight=200" TargetMode="External"/><Relationship Id="rId13" Type="http://schemas.openxmlformats.org/officeDocument/2006/relationships/hyperlink" Target="https://www.barchart.com/forex/quotes/%5EUSDCHF/opinion" TargetMode="External"/><Relationship Id="rId18" Type="http://schemas.openxmlformats.org/officeDocument/2006/relationships/hyperlink" Target="https://www.barchart.com/forex/quotes/%5EJPYUSD/technical-chart?plot=CANDLE&amp;volume=0&amp;data=DO&amp;density=L&amp;pricesOn=1&amp;asPctChange=0&amp;logscale=0&amp;indicators=BBANDS(20,2);EXPMA(9);EXPMA(4.5);EXPMA(18)&amp;sym=%5EJPYUSD&amp;grid=1&amp;height=625&amp;studyheight=200" TargetMode="External"/><Relationship Id="rId26" Type="http://schemas.openxmlformats.org/officeDocument/2006/relationships/hyperlink" Target="https://www.barchart.com/futures/quotes/DXH23/technical-chart?plot=CANDLE&amp;volume=0&amp;data=DO&amp;density=L&amp;pricesOn=1&amp;asPctChange=0&amp;logscale=0&amp;indicators=EXPMA(9);EXPMA(4.5);EXPMA(18);BBANDS(20,2)&amp;sym=DXH23&amp;grid=1&amp;height=625&amp;studyheight=100" TargetMode="External"/><Relationship Id="rId3" Type="http://schemas.openxmlformats.org/officeDocument/2006/relationships/hyperlink" Target="https://www.barchart.com/forex/quotes/%5EAUDUSD/opinion" TargetMode="External"/><Relationship Id="rId21" Type="http://schemas.openxmlformats.org/officeDocument/2006/relationships/hyperlink" Target="https://peterknightadvisor.com/2018/11/19/43449/" TargetMode="External"/><Relationship Id="rId7" Type="http://schemas.openxmlformats.org/officeDocument/2006/relationships/hyperlink" Target="https://peterknightadvisor.com/2019/03/02/gbpusd/" TargetMode="External"/><Relationship Id="rId12" Type="http://schemas.openxmlformats.org/officeDocument/2006/relationships/hyperlink" Target="https://peterknightadvisor.com/2019/03/02/USDCHF/" TargetMode="External"/><Relationship Id="rId17" Type="http://schemas.openxmlformats.org/officeDocument/2006/relationships/hyperlink" Target="https://www.barchart.com/forex/quotes/%5ECHFUSD/technical-chart?plot=CANDLE&amp;volume=0&amp;data=DO&amp;density=L&amp;pricesOn=1&amp;asPctChange=0&amp;logscale=0&amp;indicators=BBANDS(20,2);EXPMA(9);EXPMA(4.5);EXPMA(18)&amp;sym=%5ECHFUSD&amp;grid=1&amp;height=625&amp;studyheight=200" TargetMode="External"/><Relationship Id="rId25" Type="http://schemas.openxmlformats.org/officeDocument/2006/relationships/hyperlink" Target="https://peterknightadvisor.com/2018/11/19/japanese-yen/" TargetMode="External"/><Relationship Id="rId2" Type="http://schemas.openxmlformats.org/officeDocument/2006/relationships/hyperlink" Target="https://www.barchart.com/forex/quotes/%5EAUDUSD/technical-chart?plot=CANDLE&amp;volume=0&amp;data=DO&amp;density=L&amp;pricesOn=1&amp;asPctChange=0&amp;logscale=0&amp;indicators=BBANDS(20,2);EXPMA(9);EXPMA(4.5);EXPMA(18)&amp;sym=%5EAUDUSD&amp;grid=1&amp;height=625&amp;studyheight=200" TargetMode="External"/><Relationship Id="rId16" Type="http://schemas.openxmlformats.org/officeDocument/2006/relationships/hyperlink" Target="https://www.barchart.com/forex/quotes/%5ECADUSD/technical-chart?plot=CANDLE&amp;volume=0&amp;data=DO&amp;density=L&amp;pricesOn=1&amp;asPctChange=0&amp;logscale=0&amp;indicators=BBANDS(20,2);EXPMA(9);EXPMA(4.5);EXPMA(18)&amp;sym=%5ECADUSD&amp;grid=1&amp;height=625&amp;studyheight=200" TargetMode="External"/><Relationship Id="rId20" Type="http://schemas.openxmlformats.org/officeDocument/2006/relationships/hyperlink" Target="https://peterknightadvisor.com/2018/11/19/australian-dollar/" TargetMode="External"/><Relationship Id="rId1" Type="http://schemas.openxmlformats.org/officeDocument/2006/relationships/hyperlink" Target="https://peterknightadvisor.com/2019/03/02/AUDUSD/" TargetMode="External"/><Relationship Id="rId6" Type="http://schemas.openxmlformats.org/officeDocument/2006/relationships/hyperlink" Target="https://www.barchart.com/forex/quotes/%5EEURUSD/opinion" TargetMode="External"/><Relationship Id="rId11" Type="http://schemas.openxmlformats.org/officeDocument/2006/relationships/hyperlink" Target="https://www.barchart.com/forex/quotes/%5Eusdcad/opinion" TargetMode="External"/><Relationship Id="rId24" Type="http://schemas.openxmlformats.org/officeDocument/2006/relationships/hyperlink" Target="https://peterknightadvisor.com/2018/11/19/euro-fx/" TargetMode="External"/><Relationship Id="rId5" Type="http://schemas.openxmlformats.org/officeDocument/2006/relationships/hyperlink" Target="https://www.barchart.com/forex/quotes/%5EEURUSD/technical-chart?plot=CANDLE&amp;volume=0&amp;data=DO&amp;density=L&amp;pricesOn=1&amp;asPctChange=0&amp;logscale=0&amp;indicators=BBANDS(20,2);EXPMA(9);EXPMA(4.5);EXPMA(18)&amp;sym=%5EEURUSD&amp;grid=1&amp;height=625&amp;studyheight=200" TargetMode="External"/><Relationship Id="rId15" Type="http://schemas.openxmlformats.org/officeDocument/2006/relationships/hyperlink" Target="https://www.barchart.com/forex/quotes/%5EUSDJPY/opinion" TargetMode="External"/><Relationship Id="rId23" Type="http://schemas.openxmlformats.org/officeDocument/2006/relationships/hyperlink" Target="https://peterknightadvisor.com/2018/11/19/canadian-dollar/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peterknightadvisor.com/2019/03/02/USDCAD/" TargetMode="External"/><Relationship Id="rId19" Type="http://schemas.openxmlformats.org/officeDocument/2006/relationships/hyperlink" Target="https://peterknightadvisor.com/2018/10/13/fx-short-term-trend-trader/" TargetMode="External"/><Relationship Id="rId4" Type="http://schemas.openxmlformats.org/officeDocument/2006/relationships/hyperlink" Target="https://peterknightadvisor.com/2019/03/02/EURUSD/" TargetMode="External"/><Relationship Id="rId9" Type="http://schemas.openxmlformats.org/officeDocument/2006/relationships/hyperlink" Target="https://www.barchart.com/forex/quotes/%5EGBPUSD/opinion" TargetMode="External"/><Relationship Id="rId14" Type="http://schemas.openxmlformats.org/officeDocument/2006/relationships/hyperlink" Target="https://peterknightadvisor.com/2019/03/02/USDJPY/" TargetMode="External"/><Relationship Id="rId22" Type="http://schemas.openxmlformats.org/officeDocument/2006/relationships/hyperlink" Target="https://peterknightadvisor.com/2018/11/19/43461/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962"/>
  <sheetViews>
    <sheetView tabSelected="1" zoomScale="80" zoomScaleNormal="80" workbookViewId="0">
      <selection activeCell="H176" sqref="H176"/>
    </sheetView>
  </sheetViews>
  <sheetFormatPr defaultRowHeight="15"/>
  <cols>
    <col min="1" max="1" width="9.7109375" bestFit="1" customWidth="1"/>
    <col min="2" max="2" width="10.140625" style="7" customWidth="1"/>
    <col min="3" max="3" width="16.28515625" style="7" customWidth="1"/>
    <col min="4" max="4" width="13.28515625" style="7" customWidth="1"/>
    <col min="5" max="5" width="14.85546875" style="7" hidden="1" customWidth="1"/>
    <col min="6" max="6" width="16.42578125" style="7" customWidth="1"/>
    <col min="7" max="7" width="19.28515625" style="7" hidden="1" customWidth="1"/>
    <col min="8" max="8" width="15.42578125" style="7" customWidth="1"/>
    <col min="9" max="9" width="16" style="7" customWidth="1"/>
    <col min="10" max="10" width="13.7109375" style="4" customWidth="1"/>
    <col min="11" max="11" width="15" style="4" customWidth="1"/>
    <col min="12" max="12" width="15.85546875" style="2" customWidth="1"/>
    <col min="13" max="13" width="13.7109375" style="6" customWidth="1"/>
    <col min="14" max="14" width="10.140625" style="85" customWidth="1"/>
    <col min="15" max="15" width="16.5703125" style="86" customWidth="1"/>
    <col min="16" max="16" width="12.5703125" style="85" customWidth="1"/>
    <col min="17" max="17" width="15" style="33" customWidth="1"/>
    <col min="18" max="18" width="14.7109375" style="33" customWidth="1"/>
    <col min="19" max="19" width="13.7109375" style="33" customWidth="1"/>
  </cols>
  <sheetData>
    <row r="2" spans="2:19">
      <c r="I2" s="7" t="s">
        <v>85</v>
      </c>
      <c r="J2" s="2">
        <v>7.0000000000000007E-2</v>
      </c>
      <c r="L2" s="4"/>
      <c r="M2" s="2"/>
      <c r="S2" s="82"/>
    </row>
    <row r="3" spans="2:19" ht="15.75">
      <c r="B3" s="19" t="s">
        <v>0</v>
      </c>
      <c r="C3" s="19" t="s">
        <v>81</v>
      </c>
      <c r="D3" s="158" t="s">
        <v>6</v>
      </c>
      <c r="E3" s="19" t="s">
        <v>1</v>
      </c>
      <c r="F3" s="19" t="s">
        <v>1</v>
      </c>
      <c r="G3" s="19" t="s">
        <v>2</v>
      </c>
      <c r="H3" s="19" t="s">
        <v>2</v>
      </c>
      <c r="I3" s="19" t="s">
        <v>3</v>
      </c>
      <c r="J3" s="20" t="s">
        <v>4</v>
      </c>
      <c r="K3" s="20"/>
      <c r="N3" s="87" t="s">
        <v>0</v>
      </c>
      <c r="O3" s="160" t="s">
        <v>97</v>
      </c>
      <c r="P3" s="87" t="s">
        <v>0</v>
      </c>
      <c r="Q3" s="159" t="s">
        <v>94</v>
      </c>
      <c r="R3" s="159" t="s">
        <v>95</v>
      </c>
      <c r="S3" s="159" t="s">
        <v>96</v>
      </c>
    </row>
    <row r="4" spans="2:19" ht="15.75">
      <c r="B4" s="19" t="s">
        <v>3</v>
      </c>
      <c r="C4" s="19" t="s">
        <v>5</v>
      </c>
      <c r="D4" s="158"/>
      <c r="E4" s="19" t="s">
        <v>7</v>
      </c>
      <c r="F4" s="19" t="s">
        <v>7</v>
      </c>
      <c r="G4" s="19" t="s">
        <v>8</v>
      </c>
      <c r="H4" s="19" t="s">
        <v>8</v>
      </c>
      <c r="I4" s="19" t="s">
        <v>5</v>
      </c>
      <c r="J4" s="20" t="s">
        <v>9</v>
      </c>
      <c r="K4" s="20"/>
      <c r="N4" s="87" t="s">
        <v>3</v>
      </c>
      <c r="O4" s="160"/>
      <c r="P4" s="87" t="s">
        <v>3</v>
      </c>
      <c r="Q4" s="159"/>
      <c r="R4" s="159"/>
      <c r="S4" s="159"/>
    </row>
    <row r="5" spans="2:19" ht="15.75">
      <c r="B5" s="21"/>
      <c r="C5" s="21"/>
      <c r="D5" s="21"/>
      <c r="E5" s="21"/>
      <c r="F5" s="21"/>
      <c r="G5" s="21"/>
      <c r="H5" s="21"/>
      <c r="I5" s="21"/>
      <c r="J5" s="22"/>
      <c r="K5" s="22"/>
      <c r="N5" s="88"/>
      <c r="P5" s="88"/>
    </row>
    <row r="6" spans="2:19" ht="15.75" customHeight="1">
      <c r="B6" s="23">
        <v>42837</v>
      </c>
      <c r="C6" s="31">
        <v>25000</v>
      </c>
      <c r="D6" s="26">
        <v>0</v>
      </c>
      <c r="E6" s="26">
        <v>0</v>
      </c>
      <c r="F6" s="26">
        <v>0</v>
      </c>
      <c r="G6" s="26">
        <v>4769.3100000000004</v>
      </c>
      <c r="H6" s="26">
        <f>G6*(-0.22+J2)</f>
        <v>-715.39650000000006</v>
      </c>
      <c r="I6" s="26">
        <f>25000+H6</f>
        <v>24284.603500000001</v>
      </c>
      <c r="J6" s="46">
        <f>H6/25000</f>
        <v>-2.8615860000000003E-2</v>
      </c>
      <c r="K6" s="24"/>
      <c r="N6" s="88">
        <v>42837</v>
      </c>
      <c r="O6" s="86">
        <f>S6</f>
        <v>-715.39650000000006</v>
      </c>
      <c r="P6" s="88">
        <v>42837</v>
      </c>
      <c r="R6" s="83">
        <f>S6</f>
        <v>-715.39650000000006</v>
      </c>
      <c r="S6" s="83">
        <f t="shared" ref="S6:S14" si="0">H6</f>
        <v>-715.39650000000006</v>
      </c>
    </row>
    <row r="7" spans="2:19" ht="15.75" customHeight="1">
      <c r="B7" s="23">
        <v>42867</v>
      </c>
      <c r="C7" s="26">
        <f t="shared" ref="C7:C14" si="1">I6</f>
        <v>24284.603500000001</v>
      </c>
      <c r="D7" s="26">
        <v>0</v>
      </c>
      <c r="E7" s="26">
        <v>0</v>
      </c>
      <c r="F7" s="26">
        <v>0</v>
      </c>
      <c r="G7" s="26">
        <v>20337</v>
      </c>
      <c r="H7" s="26">
        <f>G7*(0.42+J2)</f>
        <v>9965.1299999999992</v>
      </c>
      <c r="I7" s="26">
        <f t="shared" ref="I7:I14" si="2">I6+H7</f>
        <v>34249.733500000002</v>
      </c>
      <c r="J7" s="24">
        <f t="shared" ref="J7:J14" si="3">H7/I6</f>
        <v>0.41034765093035175</v>
      </c>
      <c r="K7" s="24"/>
      <c r="N7" s="88">
        <v>42867</v>
      </c>
      <c r="O7" s="86">
        <f t="shared" ref="O7:O38" si="4">O6+S7</f>
        <v>9249.7334999999985</v>
      </c>
      <c r="P7" s="88">
        <v>42867</v>
      </c>
      <c r="Q7" s="89">
        <f>S7</f>
        <v>9965.1299999999992</v>
      </c>
      <c r="S7" s="83">
        <f t="shared" si="0"/>
        <v>9965.1299999999992</v>
      </c>
    </row>
    <row r="8" spans="2:19" ht="15.75" customHeight="1">
      <c r="B8" s="23">
        <v>42898</v>
      </c>
      <c r="C8" s="26">
        <f t="shared" si="1"/>
        <v>34249.733500000002</v>
      </c>
      <c r="D8" s="26">
        <v>0</v>
      </c>
      <c r="E8" s="26">
        <v>0</v>
      </c>
      <c r="F8" s="26">
        <v>0</v>
      </c>
      <c r="G8" s="26">
        <v>1747.13</v>
      </c>
      <c r="H8" s="26">
        <f>G8*(0.82+J2)</f>
        <v>1554.9457</v>
      </c>
      <c r="I8" s="26">
        <f t="shared" si="2"/>
        <v>35804.679199999999</v>
      </c>
      <c r="J8" s="47">
        <f t="shared" si="3"/>
        <v>4.5400227712720738E-2</v>
      </c>
      <c r="K8" s="24"/>
      <c r="N8" s="88">
        <v>42898</v>
      </c>
      <c r="O8" s="86">
        <f t="shared" si="4"/>
        <v>10804.679199999999</v>
      </c>
      <c r="P8" s="88">
        <v>42898</v>
      </c>
      <c r="Q8" s="89">
        <f>S8</f>
        <v>1554.9457</v>
      </c>
      <c r="S8" s="83">
        <f t="shared" si="0"/>
        <v>1554.9457</v>
      </c>
    </row>
    <row r="9" spans="2:19" ht="15.75" customHeight="1">
      <c r="B9" s="23">
        <v>42928</v>
      </c>
      <c r="C9" s="26">
        <f t="shared" si="1"/>
        <v>35804.679199999999</v>
      </c>
      <c r="D9" s="26">
        <v>0</v>
      </c>
      <c r="E9" s="26">
        <v>0</v>
      </c>
      <c r="F9" s="26">
        <v>0</v>
      </c>
      <c r="G9" s="26">
        <v>-10606.5</v>
      </c>
      <c r="H9" s="26">
        <f>G9*(0.52+J2)</f>
        <v>-6257.8350000000009</v>
      </c>
      <c r="I9" s="26">
        <f t="shared" si="2"/>
        <v>29546.8442</v>
      </c>
      <c r="J9" s="46">
        <f t="shared" si="3"/>
        <v>-0.17477701629568018</v>
      </c>
      <c r="K9" s="24"/>
      <c r="N9" s="88">
        <v>42928</v>
      </c>
      <c r="O9" s="86">
        <f t="shared" si="4"/>
        <v>4546.8441999999977</v>
      </c>
      <c r="P9" s="88">
        <v>42928</v>
      </c>
      <c r="Q9" s="89"/>
      <c r="R9" s="83">
        <f>S9</f>
        <v>-6257.8350000000009</v>
      </c>
      <c r="S9" s="83">
        <f t="shared" si="0"/>
        <v>-6257.8350000000009</v>
      </c>
    </row>
    <row r="10" spans="2:19" ht="15.75" customHeight="1">
      <c r="B10" s="23">
        <v>42959</v>
      </c>
      <c r="C10" s="26">
        <f t="shared" si="1"/>
        <v>29546.8442</v>
      </c>
      <c r="D10" s="26">
        <v>0</v>
      </c>
      <c r="E10" s="26">
        <v>0</v>
      </c>
      <c r="F10" s="26">
        <v>0</v>
      </c>
      <c r="G10" s="26">
        <v>11645.94</v>
      </c>
      <c r="H10" s="26">
        <f>G10*(0.52+J2)</f>
        <v>6871.1046000000015</v>
      </c>
      <c r="I10" s="26">
        <f t="shared" si="2"/>
        <v>36417.948799999998</v>
      </c>
      <c r="J10" s="24">
        <f t="shared" si="3"/>
        <v>0.23254952554290051</v>
      </c>
      <c r="K10" s="24"/>
      <c r="N10" s="88">
        <v>42959</v>
      </c>
      <c r="O10" s="86">
        <f t="shared" si="4"/>
        <v>11417.948799999998</v>
      </c>
      <c r="P10" s="88">
        <v>42959</v>
      </c>
      <c r="Q10" s="89">
        <f>S10</f>
        <v>6871.1046000000015</v>
      </c>
      <c r="S10" s="83">
        <f t="shared" si="0"/>
        <v>6871.1046000000015</v>
      </c>
    </row>
    <row r="11" spans="2:19" ht="15.75" customHeight="1">
      <c r="B11" s="23">
        <v>42990</v>
      </c>
      <c r="C11" s="26">
        <f t="shared" si="1"/>
        <v>36417.948799999998</v>
      </c>
      <c r="D11" s="26">
        <v>0</v>
      </c>
      <c r="E11" s="26">
        <v>0</v>
      </c>
      <c r="F11" s="26">
        <v>0</v>
      </c>
      <c r="G11" s="26">
        <v>-5088.4399999999996</v>
      </c>
      <c r="H11" s="26">
        <f>G11*(0.52+J2)</f>
        <v>-3002.1796000000004</v>
      </c>
      <c r="I11" s="26">
        <f t="shared" si="2"/>
        <v>33415.769199999995</v>
      </c>
      <c r="J11" s="46">
        <f t="shared" si="3"/>
        <v>-8.2436812037035997E-2</v>
      </c>
      <c r="K11" s="24"/>
      <c r="N11" s="88">
        <v>42990</v>
      </c>
      <c r="O11" s="86">
        <f t="shared" si="4"/>
        <v>8415.7691999999988</v>
      </c>
      <c r="P11" s="88">
        <v>42990</v>
      </c>
      <c r="Q11" s="89"/>
      <c r="R11" s="83">
        <f>S11</f>
        <v>-3002.1796000000004</v>
      </c>
      <c r="S11" s="83">
        <f t="shared" si="0"/>
        <v>-3002.1796000000004</v>
      </c>
    </row>
    <row r="12" spans="2:19" ht="15.75" customHeight="1">
      <c r="B12" s="23">
        <v>43020</v>
      </c>
      <c r="C12" s="26">
        <f t="shared" si="1"/>
        <v>33415.769199999995</v>
      </c>
      <c r="D12" s="26">
        <v>0</v>
      </c>
      <c r="E12" s="26">
        <v>0</v>
      </c>
      <c r="F12" s="26">
        <v>0</v>
      </c>
      <c r="G12" s="26">
        <v>3561.75</v>
      </c>
      <c r="H12" s="26">
        <f>G12*(0.42+J2)</f>
        <v>1745.2574999999999</v>
      </c>
      <c r="I12" s="26">
        <f t="shared" si="2"/>
        <v>35161.026699999995</v>
      </c>
      <c r="J12" s="47">
        <f t="shared" si="3"/>
        <v>5.2228559802238526E-2</v>
      </c>
      <c r="K12" s="24"/>
      <c r="N12" s="88">
        <v>43020</v>
      </c>
      <c r="O12" s="86">
        <f t="shared" si="4"/>
        <v>10161.026699999999</v>
      </c>
      <c r="P12" s="88">
        <v>43020</v>
      </c>
      <c r="Q12" s="89">
        <f>S12</f>
        <v>1745.2574999999999</v>
      </c>
      <c r="S12" s="83">
        <f t="shared" si="0"/>
        <v>1745.2574999999999</v>
      </c>
    </row>
    <row r="13" spans="2:19" ht="15.75" customHeight="1">
      <c r="B13" s="23">
        <v>43051</v>
      </c>
      <c r="C13" s="26">
        <f t="shared" si="1"/>
        <v>35161.026699999995</v>
      </c>
      <c r="D13" s="26">
        <v>0</v>
      </c>
      <c r="E13" s="26">
        <v>0</v>
      </c>
      <c r="F13" s="26">
        <v>0</v>
      </c>
      <c r="G13" s="26">
        <v>6365.06</v>
      </c>
      <c r="H13" s="26">
        <f>G13*(0.75+J2)</f>
        <v>5219.3492000000006</v>
      </c>
      <c r="I13" s="26">
        <f t="shared" si="2"/>
        <v>40380.375899999999</v>
      </c>
      <c r="J13" s="24">
        <f t="shared" si="3"/>
        <v>0.14844131954770254</v>
      </c>
      <c r="K13" s="24"/>
      <c r="N13" s="88">
        <v>43051</v>
      </c>
      <c r="O13" s="86">
        <f t="shared" si="4"/>
        <v>15380.375899999999</v>
      </c>
      <c r="P13" s="88">
        <v>43051</v>
      </c>
      <c r="Q13" s="89">
        <f>S13</f>
        <v>5219.3492000000006</v>
      </c>
      <c r="S13" s="83">
        <f t="shared" si="0"/>
        <v>5219.3492000000006</v>
      </c>
    </row>
    <row r="14" spans="2:19" ht="15.75" customHeight="1">
      <c r="B14" s="23">
        <v>43081</v>
      </c>
      <c r="C14" s="26">
        <f t="shared" si="1"/>
        <v>40380.375899999999</v>
      </c>
      <c r="D14" s="26">
        <v>0</v>
      </c>
      <c r="E14" s="26">
        <v>0</v>
      </c>
      <c r="F14" s="26">
        <v>0</v>
      </c>
      <c r="G14" s="26">
        <v>-1699.37</v>
      </c>
      <c r="H14" s="26">
        <f>G14*(0.67+J2)</f>
        <v>-1257.5337999999999</v>
      </c>
      <c r="I14" s="26">
        <f t="shared" si="2"/>
        <v>39122.842100000002</v>
      </c>
      <c r="J14" s="46">
        <f t="shared" si="3"/>
        <v>-3.1142201427599884E-2</v>
      </c>
      <c r="K14" s="24"/>
      <c r="N14" s="88">
        <v>43081</v>
      </c>
      <c r="O14" s="86">
        <f t="shared" si="4"/>
        <v>14122.8421</v>
      </c>
      <c r="P14" s="88">
        <v>43081</v>
      </c>
      <c r="Q14" s="89"/>
      <c r="R14" s="83">
        <f>S14</f>
        <v>-1257.5337999999999</v>
      </c>
      <c r="S14" s="83">
        <f t="shared" si="0"/>
        <v>-1257.5337999999999</v>
      </c>
    </row>
    <row r="15" spans="2:19" ht="15.75" customHeight="1">
      <c r="B15" s="21"/>
      <c r="C15" s="21"/>
      <c r="D15" s="21"/>
      <c r="E15" s="21"/>
      <c r="F15" s="21"/>
      <c r="G15" s="21" t="s">
        <v>10</v>
      </c>
      <c r="H15" s="22" t="s">
        <v>11</v>
      </c>
      <c r="I15" s="21"/>
      <c r="J15" s="22" t="s">
        <v>11</v>
      </c>
      <c r="K15" s="22"/>
      <c r="N15" s="88">
        <v>42748</v>
      </c>
      <c r="O15" s="86">
        <f t="shared" si="4"/>
        <v>15686.214899999999</v>
      </c>
      <c r="P15" s="88">
        <v>42748</v>
      </c>
      <c r="Q15" s="89">
        <f>S15</f>
        <v>1563.3727999999999</v>
      </c>
      <c r="S15" s="83">
        <f t="shared" ref="S15:S26" si="5">H18</f>
        <v>1563.3727999999999</v>
      </c>
    </row>
    <row r="16" spans="2:19" ht="15.75" customHeight="1">
      <c r="B16" s="21"/>
      <c r="C16" s="21"/>
      <c r="D16" s="21"/>
      <c r="E16" s="21"/>
      <c r="F16" s="48"/>
      <c r="G16" s="31">
        <v>66613.38</v>
      </c>
      <c r="H16" s="31">
        <f>SUM(H6:H15)</f>
        <v>14122.8421</v>
      </c>
      <c r="I16" s="30"/>
      <c r="J16" s="25">
        <f>H16/25000</f>
        <v>0.56491368399999997</v>
      </c>
      <c r="K16" s="161">
        <f>J16</f>
        <v>0.56491368399999997</v>
      </c>
      <c r="L16" s="3">
        <f>H16</f>
        <v>14122.8421</v>
      </c>
      <c r="M16" s="6">
        <v>9</v>
      </c>
      <c r="N16" s="88">
        <v>42779</v>
      </c>
      <c r="O16" s="86">
        <f t="shared" si="4"/>
        <v>22703.558999999997</v>
      </c>
      <c r="P16" s="88">
        <v>42779</v>
      </c>
      <c r="Q16" s="89">
        <f>S16</f>
        <v>7017.3440999999993</v>
      </c>
      <c r="S16" s="83">
        <f t="shared" si="5"/>
        <v>7017.3440999999993</v>
      </c>
    </row>
    <row r="17" spans="2:19" ht="15.75" customHeight="1">
      <c r="B17" s="21"/>
      <c r="C17" s="21"/>
      <c r="D17" s="21"/>
      <c r="E17" s="21"/>
      <c r="F17" s="21"/>
      <c r="G17" s="21"/>
      <c r="H17" s="21"/>
      <c r="I17" s="21"/>
      <c r="J17" s="22"/>
      <c r="K17" s="22"/>
      <c r="N17" s="88">
        <v>42807</v>
      </c>
      <c r="O17" s="86">
        <f t="shared" si="4"/>
        <v>30362.719599999997</v>
      </c>
      <c r="P17" s="88">
        <v>42807</v>
      </c>
      <c r="Q17" s="89">
        <f>S17</f>
        <v>7659.1606000000002</v>
      </c>
      <c r="S17" s="83">
        <f t="shared" si="5"/>
        <v>7659.1606000000002</v>
      </c>
    </row>
    <row r="18" spans="2:19" ht="15.75" customHeight="1">
      <c r="B18" s="23">
        <v>42748</v>
      </c>
      <c r="C18" s="26">
        <f>C6</f>
        <v>25000</v>
      </c>
      <c r="D18" s="26">
        <v>0</v>
      </c>
      <c r="E18" s="26">
        <v>-66613.38</v>
      </c>
      <c r="F18" s="26">
        <f>-H16</f>
        <v>-14122.8421</v>
      </c>
      <c r="G18" s="26">
        <v>3553.12</v>
      </c>
      <c r="H18" s="26">
        <f>G18*(0.37+J2)</f>
        <v>1563.3727999999999</v>
      </c>
      <c r="I18" s="26">
        <f>25000+H18</f>
        <v>26563.372800000001</v>
      </c>
      <c r="J18" s="24">
        <f>H18/25000</f>
        <v>6.2534911999999998E-2</v>
      </c>
      <c r="K18" s="24"/>
      <c r="N18" s="88">
        <v>42838</v>
      </c>
      <c r="O18" s="86">
        <f t="shared" si="4"/>
        <v>23106.645099999998</v>
      </c>
      <c r="P18" s="88">
        <v>42838</v>
      </c>
      <c r="R18" s="83">
        <f>S18</f>
        <v>-7256.0744999999988</v>
      </c>
      <c r="S18" s="83">
        <f t="shared" si="5"/>
        <v>-7256.0744999999988</v>
      </c>
    </row>
    <row r="19" spans="2:19" ht="15.75" customHeight="1">
      <c r="B19" s="23">
        <v>42779</v>
      </c>
      <c r="C19" s="26">
        <f t="shared" ref="C19:C29" si="6">I18</f>
        <v>26563.372800000001</v>
      </c>
      <c r="D19" s="26">
        <v>0</v>
      </c>
      <c r="E19" s="26">
        <v>0</v>
      </c>
      <c r="F19" s="26">
        <v>0</v>
      </c>
      <c r="G19" s="26">
        <v>17993.189999999999</v>
      </c>
      <c r="H19" s="26">
        <f>G19*(0.32+J2)</f>
        <v>7017.3440999999993</v>
      </c>
      <c r="I19" s="26">
        <f t="shared" ref="I19:I29" si="7">I18+H19</f>
        <v>33580.716899999999</v>
      </c>
      <c r="J19" s="24">
        <f t="shared" ref="J19:J29" si="8">H19/I18</f>
        <v>0.26417368580544104</v>
      </c>
      <c r="K19" s="24"/>
      <c r="N19" s="88">
        <v>42868</v>
      </c>
      <c r="O19" s="86">
        <f t="shared" si="4"/>
        <v>26520.660099999997</v>
      </c>
      <c r="P19" s="88">
        <v>42868</v>
      </c>
      <c r="Q19" s="89">
        <f>S19</f>
        <v>3414.0149999999999</v>
      </c>
      <c r="S19" s="83">
        <f t="shared" si="5"/>
        <v>3414.0149999999999</v>
      </c>
    </row>
    <row r="20" spans="2:19" ht="15.75" customHeight="1">
      <c r="B20" s="23">
        <v>42807</v>
      </c>
      <c r="C20" s="26">
        <f t="shared" si="6"/>
        <v>33580.716899999999</v>
      </c>
      <c r="D20" s="26">
        <v>0</v>
      </c>
      <c r="E20" s="26">
        <v>0</v>
      </c>
      <c r="F20" s="26">
        <v>0</v>
      </c>
      <c r="G20" s="26">
        <v>15630.94</v>
      </c>
      <c r="H20" s="26">
        <f>G20*(0.42+J2)</f>
        <v>7659.1606000000002</v>
      </c>
      <c r="I20" s="26">
        <f t="shared" si="7"/>
        <v>41239.877500000002</v>
      </c>
      <c r="J20" s="24">
        <f t="shared" si="8"/>
        <v>0.22808210506071716</v>
      </c>
      <c r="K20" s="24"/>
      <c r="N20" s="88">
        <v>42899</v>
      </c>
      <c r="O20" s="86">
        <f t="shared" si="4"/>
        <v>30925.859699999997</v>
      </c>
      <c r="P20" s="88">
        <v>42899</v>
      </c>
      <c r="Q20" s="89">
        <f>S20</f>
        <v>4405.1995999999999</v>
      </c>
      <c r="S20" s="83">
        <f t="shared" si="5"/>
        <v>4405.1995999999999</v>
      </c>
    </row>
    <row r="21" spans="2:19" ht="15.75" customHeight="1">
      <c r="B21" s="23">
        <v>42838</v>
      </c>
      <c r="C21" s="26">
        <f t="shared" si="6"/>
        <v>41239.877500000002</v>
      </c>
      <c r="D21" s="26">
        <v>0</v>
      </c>
      <c r="E21" s="26">
        <v>0</v>
      </c>
      <c r="F21" s="26">
        <v>0</v>
      </c>
      <c r="G21" s="26">
        <v>5374.87</v>
      </c>
      <c r="H21" s="26">
        <f>G21*(-1.42+J2)</f>
        <v>-7256.0744999999988</v>
      </c>
      <c r="I21" s="26">
        <f t="shared" si="7"/>
        <v>33983.803</v>
      </c>
      <c r="J21" s="46">
        <f t="shared" si="8"/>
        <v>-0.17594801293966011</v>
      </c>
      <c r="K21" s="24"/>
      <c r="N21" s="88">
        <v>42929</v>
      </c>
      <c r="O21" s="86">
        <f t="shared" si="4"/>
        <v>36616.072799999994</v>
      </c>
      <c r="P21" s="88">
        <v>42929</v>
      </c>
      <c r="Q21" s="89">
        <f>S21</f>
        <v>5690.2130999999999</v>
      </c>
      <c r="S21" s="83">
        <f t="shared" si="5"/>
        <v>5690.2130999999999</v>
      </c>
    </row>
    <row r="22" spans="2:19" ht="15.75" customHeight="1">
      <c r="B22" s="23">
        <v>42868</v>
      </c>
      <c r="C22" s="26">
        <f t="shared" si="6"/>
        <v>33983.803</v>
      </c>
      <c r="D22" s="26">
        <v>0</v>
      </c>
      <c r="E22" s="26">
        <v>0</v>
      </c>
      <c r="F22" s="26">
        <v>0</v>
      </c>
      <c r="G22" s="26">
        <v>3448.5</v>
      </c>
      <c r="H22" s="26">
        <f>G22*(0.92+J2)</f>
        <v>3414.0149999999999</v>
      </c>
      <c r="I22" s="26">
        <f t="shared" si="7"/>
        <v>37397.817999999999</v>
      </c>
      <c r="J22" s="24">
        <f t="shared" si="8"/>
        <v>0.10046006328367664</v>
      </c>
      <c r="K22" s="24"/>
      <c r="N22" s="88">
        <v>42960</v>
      </c>
      <c r="O22" s="86">
        <f t="shared" si="4"/>
        <v>38329.556699999994</v>
      </c>
      <c r="P22" s="88">
        <v>42960</v>
      </c>
      <c r="Q22" s="89">
        <f>S22</f>
        <v>1713.4838999999997</v>
      </c>
      <c r="S22" s="83">
        <f t="shared" si="5"/>
        <v>1713.4838999999997</v>
      </c>
    </row>
    <row r="23" spans="2:19" ht="15.75" customHeight="1">
      <c r="B23" s="23">
        <v>42899</v>
      </c>
      <c r="C23" s="26">
        <f t="shared" si="6"/>
        <v>37397.817999999999</v>
      </c>
      <c r="D23" s="26">
        <v>0</v>
      </c>
      <c r="E23" s="26">
        <v>0</v>
      </c>
      <c r="F23" s="26">
        <v>0</v>
      </c>
      <c r="G23" s="26">
        <v>7466.44</v>
      </c>
      <c r="H23" s="26">
        <f>G23*(0.52+J2)</f>
        <v>4405.1995999999999</v>
      </c>
      <c r="I23" s="26">
        <f t="shared" si="7"/>
        <v>41803.017599999999</v>
      </c>
      <c r="J23" s="24">
        <f t="shared" si="8"/>
        <v>0.11779295786722102</v>
      </c>
      <c r="K23" s="24"/>
      <c r="N23" s="88">
        <v>42991</v>
      </c>
      <c r="O23" s="86">
        <f t="shared" si="4"/>
        <v>40833.456699999995</v>
      </c>
      <c r="P23" s="88">
        <v>42991</v>
      </c>
      <c r="Q23" s="89">
        <f>S23</f>
        <v>2503.9</v>
      </c>
      <c r="S23" s="83">
        <f t="shared" si="5"/>
        <v>2503.9</v>
      </c>
    </row>
    <row r="24" spans="2:19" ht="15.75" customHeight="1">
      <c r="B24" s="23">
        <v>42929</v>
      </c>
      <c r="C24" s="26">
        <f t="shared" si="6"/>
        <v>41803.017599999999</v>
      </c>
      <c r="D24" s="26">
        <v>0</v>
      </c>
      <c r="E24" s="26">
        <v>0</v>
      </c>
      <c r="F24" s="26">
        <v>0</v>
      </c>
      <c r="G24" s="26">
        <v>5747.69</v>
      </c>
      <c r="H24" s="26">
        <f>G24*(0.92+J2)</f>
        <v>5690.2130999999999</v>
      </c>
      <c r="I24" s="26">
        <f t="shared" si="7"/>
        <v>47493.2307</v>
      </c>
      <c r="J24" s="24">
        <f t="shared" si="8"/>
        <v>0.13611967333190797</v>
      </c>
      <c r="K24" s="24"/>
      <c r="N24" s="88">
        <v>43021</v>
      </c>
      <c r="O24" s="86">
        <f t="shared" si="4"/>
        <v>39129.644199999995</v>
      </c>
      <c r="P24" s="88">
        <v>43021</v>
      </c>
      <c r="R24" s="83">
        <f>S24</f>
        <v>-1703.8125</v>
      </c>
      <c r="S24" s="83">
        <f t="shared" si="5"/>
        <v>-1703.8125</v>
      </c>
    </row>
    <row r="25" spans="2:19" ht="15.75" customHeight="1">
      <c r="B25" s="23">
        <v>42960</v>
      </c>
      <c r="C25" s="26">
        <f t="shared" si="6"/>
        <v>47493.2307</v>
      </c>
      <c r="D25" s="26">
        <v>0</v>
      </c>
      <c r="E25" s="26">
        <v>0</v>
      </c>
      <c r="F25" s="26">
        <v>0</v>
      </c>
      <c r="G25" s="26">
        <v>2483.31</v>
      </c>
      <c r="H25" s="26">
        <f>G25*(0.62+J2)</f>
        <v>1713.4838999999997</v>
      </c>
      <c r="I25" s="26">
        <f t="shared" si="7"/>
        <v>49206.714599999999</v>
      </c>
      <c r="J25" s="24">
        <f t="shared" si="8"/>
        <v>3.6078486865287092E-2</v>
      </c>
      <c r="K25" s="24"/>
      <c r="N25" s="88">
        <v>43052</v>
      </c>
      <c r="O25" s="86">
        <f t="shared" si="4"/>
        <v>41092.904199999997</v>
      </c>
      <c r="P25" s="88">
        <v>43052</v>
      </c>
      <c r="Q25" s="89">
        <f>S25</f>
        <v>1963.26</v>
      </c>
      <c r="S25" s="83">
        <f t="shared" si="5"/>
        <v>1963.26</v>
      </c>
    </row>
    <row r="26" spans="2:19" ht="15.75" customHeight="1">
      <c r="B26" s="23">
        <v>42991</v>
      </c>
      <c r="C26" s="26">
        <f t="shared" si="6"/>
        <v>49206.714599999999</v>
      </c>
      <c r="D26" s="26">
        <v>0</v>
      </c>
      <c r="E26" s="26">
        <v>0</v>
      </c>
      <c r="F26" s="26">
        <v>0</v>
      </c>
      <c r="G26" s="26">
        <v>5110</v>
      </c>
      <c r="H26" s="26">
        <f>G26*(0.42+J2)</f>
        <v>2503.9</v>
      </c>
      <c r="I26" s="26">
        <f t="shared" si="7"/>
        <v>51710.614600000001</v>
      </c>
      <c r="J26" s="24">
        <f t="shared" si="8"/>
        <v>5.088533181607699E-2</v>
      </c>
      <c r="K26" s="24"/>
      <c r="N26" s="88">
        <v>43082</v>
      </c>
      <c r="O26" s="86">
        <f t="shared" si="4"/>
        <v>38939.354199999994</v>
      </c>
      <c r="P26" s="88">
        <v>43082</v>
      </c>
      <c r="R26" s="83">
        <f>S26</f>
        <v>-2153.5500000000002</v>
      </c>
      <c r="S26" s="83">
        <f t="shared" si="5"/>
        <v>-2153.5500000000002</v>
      </c>
    </row>
    <row r="27" spans="2:19" ht="15.75" customHeight="1">
      <c r="B27" s="23">
        <v>43021</v>
      </c>
      <c r="C27" s="26">
        <f t="shared" si="6"/>
        <v>51710.614600000001</v>
      </c>
      <c r="D27" s="26">
        <v>0</v>
      </c>
      <c r="E27" s="26">
        <v>0</v>
      </c>
      <c r="F27" s="26">
        <v>0</v>
      </c>
      <c r="G27" s="26">
        <v>3786.25</v>
      </c>
      <c r="H27" s="26">
        <f>G27*(-0.52+J2)</f>
        <v>-1703.8125</v>
      </c>
      <c r="I27" s="26">
        <f t="shared" si="7"/>
        <v>50006.802100000001</v>
      </c>
      <c r="J27" s="46">
        <f t="shared" si="8"/>
        <v>-3.2948989548463037E-2</v>
      </c>
      <c r="K27" s="24"/>
      <c r="N27" s="88">
        <v>42749</v>
      </c>
      <c r="O27" s="86">
        <f t="shared" si="4"/>
        <v>40321.477799999993</v>
      </c>
      <c r="P27" s="88">
        <v>42749</v>
      </c>
      <c r="Q27" s="89">
        <f>S27</f>
        <v>1382.1236000000001</v>
      </c>
      <c r="S27" s="83">
        <f t="shared" ref="S27:S38" si="9">H33</f>
        <v>1382.1236000000001</v>
      </c>
    </row>
    <row r="28" spans="2:19" ht="15.75" customHeight="1">
      <c r="B28" s="23">
        <v>43052</v>
      </c>
      <c r="C28" s="26">
        <f t="shared" si="6"/>
        <v>50006.802100000001</v>
      </c>
      <c r="D28" s="26">
        <v>0</v>
      </c>
      <c r="E28" s="26">
        <v>0</v>
      </c>
      <c r="F28" s="26">
        <v>0</v>
      </c>
      <c r="G28" s="26">
        <v>3775.5</v>
      </c>
      <c r="H28" s="26">
        <f>G28*(0.45+J2)</f>
        <v>1963.26</v>
      </c>
      <c r="I28" s="26">
        <f t="shared" si="7"/>
        <v>51970.062100000003</v>
      </c>
      <c r="J28" s="24">
        <f t="shared" si="8"/>
        <v>3.9259859010260523E-2</v>
      </c>
      <c r="K28" s="24"/>
      <c r="N28" s="88">
        <v>42780</v>
      </c>
      <c r="O28" s="86">
        <f t="shared" si="4"/>
        <v>43029.727799999993</v>
      </c>
      <c r="P28" s="88">
        <v>42780</v>
      </c>
      <c r="Q28" s="89">
        <f>S28</f>
        <v>2708.25</v>
      </c>
      <c r="S28" s="83">
        <f t="shared" si="9"/>
        <v>2708.25</v>
      </c>
    </row>
    <row r="29" spans="2:19" ht="15.75" customHeight="1">
      <c r="B29" s="23">
        <v>43082</v>
      </c>
      <c r="C29" s="26">
        <f t="shared" si="6"/>
        <v>51970.062100000003</v>
      </c>
      <c r="D29" s="26">
        <v>0</v>
      </c>
      <c r="E29" s="26">
        <v>0</v>
      </c>
      <c r="F29" s="26">
        <v>0</v>
      </c>
      <c r="G29" s="26">
        <v>-2563.75</v>
      </c>
      <c r="H29" s="26">
        <f>G29*(0.77+J2)</f>
        <v>-2153.5500000000002</v>
      </c>
      <c r="I29" s="26">
        <f t="shared" si="7"/>
        <v>49816.5121</v>
      </c>
      <c r="J29" s="46">
        <f t="shared" si="8"/>
        <v>-4.1438280290221167E-2</v>
      </c>
      <c r="K29" s="24"/>
      <c r="N29" s="88">
        <v>42808</v>
      </c>
      <c r="O29" s="86">
        <f t="shared" si="4"/>
        <v>40972.127199999995</v>
      </c>
      <c r="P29" s="88">
        <v>42808</v>
      </c>
      <c r="R29" s="83">
        <f>S29</f>
        <v>-2057.6006000000002</v>
      </c>
      <c r="S29" s="83">
        <f t="shared" si="9"/>
        <v>-2057.6006000000002</v>
      </c>
    </row>
    <row r="30" spans="2:19" ht="15.75" customHeight="1">
      <c r="B30" s="21"/>
      <c r="C30" s="21"/>
      <c r="D30" s="21"/>
      <c r="E30" s="21"/>
      <c r="F30" s="21"/>
      <c r="G30" s="21" t="s">
        <v>10</v>
      </c>
      <c r="H30" s="22" t="s">
        <v>11</v>
      </c>
      <c r="I30" s="21"/>
      <c r="J30" s="22" t="s">
        <v>11</v>
      </c>
      <c r="K30" s="22"/>
      <c r="N30" s="88">
        <v>42839</v>
      </c>
      <c r="O30" s="86">
        <f t="shared" si="4"/>
        <v>42182.931199999992</v>
      </c>
      <c r="P30" s="88">
        <v>42839</v>
      </c>
      <c r="Q30" s="89">
        <f>S30</f>
        <v>1210.8039999999999</v>
      </c>
      <c r="S30" s="83">
        <f t="shared" si="9"/>
        <v>1210.8039999999999</v>
      </c>
    </row>
    <row r="31" spans="2:19" ht="15.75" customHeight="1">
      <c r="B31" s="21"/>
      <c r="C31" s="21"/>
      <c r="D31" s="21"/>
      <c r="E31" s="21"/>
      <c r="F31" s="21"/>
      <c r="G31" s="31">
        <v>71806.06</v>
      </c>
      <c r="H31" s="31">
        <f>SUM(H18:H30)</f>
        <v>24816.5121</v>
      </c>
      <c r="I31" s="30"/>
      <c r="J31" s="25">
        <f>H31/25000</f>
        <v>0.99266048399999995</v>
      </c>
      <c r="K31" s="161">
        <f>J31</f>
        <v>0.99266048399999995</v>
      </c>
      <c r="L31" s="3">
        <f>H31</f>
        <v>24816.5121</v>
      </c>
      <c r="M31" s="6">
        <v>12</v>
      </c>
      <c r="N31" s="88">
        <v>42869</v>
      </c>
      <c r="O31" s="86">
        <f t="shared" si="4"/>
        <v>35340.616399999992</v>
      </c>
      <c r="P31" s="88">
        <v>42869</v>
      </c>
      <c r="R31" s="83">
        <f>S31</f>
        <v>-6842.3148000000001</v>
      </c>
      <c r="S31" s="83">
        <f t="shared" si="9"/>
        <v>-6842.3148000000001</v>
      </c>
    </row>
    <row r="32" spans="2:19" ht="15.75" customHeight="1">
      <c r="B32" s="21"/>
      <c r="C32" s="21"/>
      <c r="D32" s="21"/>
      <c r="E32" s="21"/>
      <c r="F32" s="21"/>
      <c r="G32" s="21"/>
      <c r="H32" s="21"/>
      <c r="I32" s="21"/>
      <c r="J32" s="22"/>
      <c r="K32" s="22"/>
      <c r="N32" s="88">
        <v>42900</v>
      </c>
      <c r="O32" s="86">
        <f t="shared" si="4"/>
        <v>34338.479899999991</v>
      </c>
      <c r="P32" s="88">
        <v>42900</v>
      </c>
      <c r="R32" s="83">
        <f>S32</f>
        <v>-1002.1365</v>
      </c>
      <c r="S32" s="83">
        <f t="shared" si="9"/>
        <v>-1002.1365</v>
      </c>
    </row>
    <row r="33" spans="2:19" ht="15.75" customHeight="1">
      <c r="B33" s="23">
        <v>42749</v>
      </c>
      <c r="C33" s="26">
        <f>C18</f>
        <v>25000</v>
      </c>
      <c r="D33" s="26">
        <v>0</v>
      </c>
      <c r="E33" s="26">
        <v>-71806.06</v>
      </c>
      <c r="F33" s="26">
        <f>-H31</f>
        <v>-24816.5121</v>
      </c>
      <c r="G33" s="26">
        <v>3141.19</v>
      </c>
      <c r="H33" s="26">
        <f>G33*(0.37+J2)</f>
        <v>1382.1236000000001</v>
      </c>
      <c r="I33" s="26">
        <f>25000+H33</f>
        <v>26382.123599999999</v>
      </c>
      <c r="J33" s="24">
        <f>H33/25000</f>
        <v>5.5284944000000003E-2</v>
      </c>
      <c r="K33" s="24"/>
      <c r="N33" s="88">
        <v>42930</v>
      </c>
      <c r="O33" s="86">
        <f t="shared" si="4"/>
        <v>32976.550999999992</v>
      </c>
      <c r="P33" s="88">
        <v>42930</v>
      </c>
      <c r="R33" s="83">
        <f>S33</f>
        <v>-1361.9288999999999</v>
      </c>
      <c r="S33" s="83">
        <f t="shared" si="9"/>
        <v>-1361.9288999999999</v>
      </c>
    </row>
    <row r="34" spans="2:19" ht="15.75" customHeight="1">
      <c r="B34" s="23">
        <v>42780</v>
      </c>
      <c r="C34" s="26">
        <f t="shared" ref="C34:C44" si="10">I33</f>
        <v>26382.123599999999</v>
      </c>
      <c r="D34" s="26">
        <v>0</v>
      </c>
      <c r="E34" s="26">
        <v>0</v>
      </c>
      <c r="F34" s="26">
        <v>0</v>
      </c>
      <c r="G34" s="26">
        <v>3925</v>
      </c>
      <c r="H34" s="26">
        <f>G34*(0.62+J2)</f>
        <v>2708.25</v>
      </c>
      <c r="I34" s="26">
        <f t="shared" ref="I34:I44" si="11">I33+H34</f>
        <v>29090.373599999999</v>
      </c>
      <c r="J34" s="24">
        <f t="shared" ref="J34:J44" si="12">H34/I33</f>
        <v>0.1026547385290849</v>
      </c>
      <c r="K34" s="24"/>
      <c r="N34" s="88">
        <v>42961</v>
      </c>
      <c r="O34" s="86">
        <f t="shared" si="4"/>
        <v>31092.333499999993</v>
      </c>
      <c r="P34" s="88">
        <v>42961</v>
      </c>
      <c r="R34" s="83">
        <f>S34</f>
        <v>-1884.2174999999997</v>
      </c>
      <c r="S34" s="83">
        <f t="shared" si="9"/>
        <v>-1884.2174999999997</v>
      </c>
    </row>
    <row r="35" spans="2:19" ht="15.75" customHeight="1">
      <c r="B35" s="23">
        <v>42808</v>
      </c>
      <c r="C35" s="26">
        <f t="shared" si="10"/>
        <v>29090.373599999999</v>
      </c>
      <c r="D35" s="26">
        <v>0</v>
      </c>
      <c r="E35" s="26">
        <v>0</v>
      </c>
      <c r="F35" s="26">
        <v>0</v>
      </c>
      <c r="G35" s="26">
        <v>-1380.94</v>
      </c>
      <c r="H35" s="26">
        <f>G35*(1.42+J2)</f>
        <v>-2057.6006000000002</v>
      </c>
      <c r="I35" s="26">
        <f t="shared" si="11"/>
        <v>27032.772999999997</v>
      </c>
      <c r="J35" s="46">
        <f t="shared" si="12"/>
        <v>-7.0731322611820982E-2</v>
      </c>
      <c r="K35" s="24"/>
      <c r="N35" s="88">
        <v>42992</v>
      </c>
      <c r="O35" s="86">
        <f t="shared" si="4"/>
        <v>36876.138899999991</v>
      </c>
      <c r="P35" s="88">
        <v>42992</v>
      </c>
      <c r="Q35" s="89">
        <f>S35</f>
        <v>5783.8054000000002</v>
      </c>
      <c r="S35" s="83">
        <f t="shared" si="9"/>
        <v>5783.8054000000002</v>
      </c>
    </row>
    <row r="36" spans="2:19" ht="15.75" customHeight="1">
      <c r="B36" s="23">
        <v>42839</v>
      </c>
      <c r="C36" s="26">
        <f t="shared" si="10"/>
        <v>27032.772999999997</v>
      </c>
      <c r="D36" s="26">
        <v>0</v>
      </c>
      <c r="E36" s="26">
        <v>0</v>
      </c>
      <c r="F36" s="26">
        <v>0</v>
      </c>
      <c r="G36" s="26">
        <v>-3459.44</v>
      </c>
      <c r="H36" s="26">
        <f>G36*(-0.42+J2)</f>
        <v>1210.8039999999999</v>
      </c>
      <c r="I36" s="26">
        <f t="shared" si="11"/>
        <v>28243.576999999997</v>
      </c>
      <c r="J36" s="24">
        <f t="shared" si="12"/>
        <v>4.4790225553257151E-2</v>
      </c>
      <c r="K36" s="24"/>
      <c r="N36" s="88">
        <v>43022</v>
      </c>
      <c r="O36" s="86">
        <f t="shared" si="4"/>
        <v>41419.657799999994</v>
      </c>
      <c r="P36" s="88">
        <v>43022</v>
      </c>
      <c r="Q36" s="89">
        <f>S36</f>
        <v>4543.5189</v>
      </c>
      <c r="S36" s="83">
        <f t="shared" si="9"/>
        <v>4543.5189</v>
      </c>
    </row>
    <row r="37" spans="2:19" ht="15.75" customHeight="1">
      <c r="B37" s="23">
        <v>42869</v>
      </c>
      <c r="C37" s="26">
        <f t="shared" si="10"/>
        <v>28243.576999999997</v>
      </c>
      <c r="D37" s="26">
        <v>0</v>
      </c>
      <c r="E37" s="26">
        <v>0</v>
      </c>
      <c r="F37" s="26">
        <v>0</v>
      </c>
      <c r="G37" s="26">
        <v>-5304.12</v>
      </c>
      <c r="H37" s="26">
        <f>G37*(1.22+J2)</f>
        <v>-6842.3148000000001</v>
      </c>
      <c r="I37" s="26">
        <f t="shared" si="11"/>
        <v>21401.262199999997</v>
      </c>
      <c r="J37" s="46">
        <f t="shared" si="12"/>
        <v>-0.24226091475594613</v>
      </c>
      <c r="K37" s="24"/>
      <c r="N37" s="88">
        <v>43053</v>
      </c>
      <c r="O37" s="86">
        <f t="shared" si="4"/>
        <v>52346.645499999991</v>
      </c>
      <c r="P37" s="88">
        <v>43053</v>
      </c>
      <c r="Q37" s="89">
        <f>S37</f>
        <v>10926.9877</v>
      </c>
      <c r="S37" s="83">
        <f t="shared" si="9"/>
        <v>10926.9877</v>
      </c>
    </row>
    <row r="38" spans="2:19" ht="15.75" customHeight="1">
      <c r="B38" s="23">
        <v>42900</v>
      </c>
      <c r="C38" s="26">
        <f t="shared" si="10"/>
        <v>21401.262199999997</v>
      </c>
      <c r="D38" s="26">
        <v>0</v>
      </c>
      <c r="E38" s="26">
        <v>0</v>
      </c>
      <c r="F38" s="26">
        <v>0</v>
      </c>
      <c r="G38" s="26">
        <v>155.37</v>
      </c>
      <c r="H38" s="26">
        <f>G38*(-6.52+J2)</f>
        <v>-1002.1365</v>
      </c>
      <c r="I38" s="26">
        <f t="shared" si="11"/>
        <v>20399.125699999997</v>
      </c>
      <c r="J38" s="46">
        <f t="shared" si="12"/>
        <v>-4.682604654972173E-2</v>
      </c>
      <c r="K38" s="24"/>
      <c r="N38" s="88">
        <v>43083</v>
      </c>
      <c r="O38" s="86">
        <f t="shared" si="4"/>
        <v>50085.097899999993</v>
      </c>
      <c r="P38" s="88">
        <v>43083</v>
      </c>
      <c r="R38" s="83">
        <f>S38</f>
        <v>-2261.5475999999999</v>
      </c>
      <c r="S38" s="83">
        <f t="shared" si="9"/>
        <v>-2261.5475999999999</v>
      </c>
    </row>
    <row r="39" spans="2:19" ht="15.75" customHeight="1">
      <c r="B39" s="23">
        <v>42930</v>
      </c>
      <c r="C39" s="26">
        <f t="shared" si="10"/>
        <v>20399.125699999997</v>
      </c>
      <c r="D39" s="26">
        <v>0</v>
      </c>
      <c r="E39" s="26">
        <v>0</v>
      </c>
      <c r="F39" s="26">
        <v>0</v>
      </c>
      <c r="G39" s="26">
        <v>-1973.81</v>
      </c>
      <c r="H39" s="26">
        <f>G39*(0.62+J2)</f>
        <v>-1361.9288999999999</v>
      </c>
      <c r="I39" s="26">
        <f t="shared" si="11"/>
        <v>19037.196799999998</v>
      </c>
      <c r="J39" s="46">
        <f t="shared" si="12"/>
        <v>-6.6764081952786838E-2</v>
      </c>
      <c r="K39" s="24"/>
      <c r="N39" s="88">
        <v>42750</v>
      </c>
      <c r="O39" s="86">
        <f t="shared" ref="O39:O70" si="13">O38+S39</f>
        <v>54248.381099999991</v>
      </c>
      <c r="P39" s="88">
        <v>42750</v>
      </c>
      <c r="Q39" s="89">
        <f>S39</f>
        <v>4163.2831999999999</v>
      </c>
      <c r="S39" s="83">
        <f t="shared" ref="S39:S50" si="14">H48</f>
        <v>4163.2831999999999</v>
      </c>
    </row>
    <row r="40" spans="2:19" ht="15.75" customHeight="1">
      <c r="B40" s="23">
        <v>42961</v>
      </c>
      <c r="C40" s="26">
        <f t="shared" si="10"/>
        <v>19037.196799999998</v>
      </c>
      <c r="D40" s="26">
        <v>0</v>
      </c>
      <c r="E40" s="26">
        <v>0</v>
      </c>
      <c r="F40" s="26">
        <v>0</v>
      </c>
      <c r="G40" s="26">
        <v>-2730.75</v>
      </c>
      <c r="H40" s="26">
        <f>G40*(0.62+J2)</f>
        <v>-1884.2174999999997</v>
      </c>
      <c r="I40" s="26">
        <f t="shared" si="11"/>
        <v>17152.979299999999</v>
      </c>
      <c r="J40" s="46">
        <f t="shared" si="12"/>
        <v>-9.8975575017431136E-2</v>
      </c>
      <c r="K40" s="24"/>
      <c r="N40" s="88">
        <v>42781</v>
      </c>
      <c r="O40" s="86">
        <f t="shared" si="13"/>
        <v>56516.559399999991</v>
      </c>
      <c r="P40" s="88">
        <v>42781</v>
      </c>
      <c r="Q40" s="89">
        <f>S40</f>
        <v>2268.1783</v>
      </c>
      <c r="S40" s="83">
        <f t="shared" si="14"/>
        <v>2268.1783</v>
      </c>
    </row>
    <row r="41" spans="2:19" ht="15.75" customHeight="1">
      <c r="B41" s="23">
        <v>42992</v>
      </c>
      <c r="C41" s="26">
        <f t="shared" si="10"/>
        <v>17152.979299999999</v>
      </c>
      <c r="D41" s="26">
        <v>0</v>
      </c>
      <c r="E41" s="26">
        <v>0</v>
      </c>
      <c r="F41" s="26">
        <v>0</v>
      </c>
      <c r="G41" s="26">
        <v>9803.06</v>
      </c>
      <c r="H41" s="26">
        <f>G41*(0.52+J2)</f>
        <v>5783.8054000000002</v>
      </c>
      <c r="I41" s="26">
        <f t="shared" si="11"/>
        <v>22936.7847</v>
      </c>
      <c r="J41" s="24">
        <f t="shared" si="12"/>
        <v>0.33718955167164461</v>
      </c>
      <c r="K41" s="24"/>
      <c r="N41" s="88">
        <v>42809</v>
      </c>
      <c r="O41" s="86">
        <f t="shared" si="13"/>
        <v>57738.480099999993</v>
      </c>
      <c r="P41" s="88">
        <v>42809</v>
      </c>
      <c r="Q41" s="89">
        <f>S41</f>
        <v>1221.9207000000001</v>
      </c>
      <c r="S41" s="83">
        <f t="shared" si="14"/>
        <v>1221.9207000000001</v>
      </c>
    </row>
    <row r="42" spans="2:19" ht="15.75" customHeight="1">
      <c r="B42" s="23">
        <v>43022</v>
      </c>
      <c r="C42" s="26">
        <f t="shared" si="10"/>
        <v>22936.7847</v>
      </c>
      <c r="D42" s="26">
        <v>0</v>
      </c>
      <c r="E42" s="26">
        <v>0</v>
      </c>
      <c r="F42" s="26">
        <v>0</v>
      </c>
      <c r="G42" s="26">
        <v>6584.81</v>
      </c>
      <c r="H42" s="26">
        <f>G42*(0.62+J2)</f>
        <v>4543.5189</v>
      </c>
      <c r="I42" s="26">
        <f t="shared" si="11"/>
        <v>27480.303599999999</v>
      </c>
      <c r="J42" s="24">
        <f t="shared" si="12"/>
        <v>0.19808874519365394</v>
      </c>
      <c r="K42" s="24"/>
      <c r="N42" s="88">
        <v>42840</v>
      </c>
      <c r="O42" s="86">
        <f t="shared" si="13"/>
        <v>64658.382599999997</v>
      </c>
      <c r="P42" s="88">
        <v>42840</v>
      </c>
      <c r="Q42" s="89">
        <f>S42</f>
        <v>6919.9025000000001</v>
      </c>
      <c r="S42" s="83">
        <f t="shared" si="14"/>
        <v>6919.9025000000001</v>
      </c>
    </row>
    <row r="43" spans="2:19" ht="15.75" customHeight="1">
      <c r="B43" s="23">
        <v>43053</v>
      </c>
      <c r="C43" s="26">
        <f t="shared" si="10"/>
        <v>27480.303599999999</v>
      </c>
      <c r="D43" s="26">
        <v>0</v>
      </c>
      <c r="E43" s="26">
        <v>0</v>
      </c>
      <c r="F43" s="26">
        <v>0</v>
      </c>
      <c r="G43" s="26">
        <v>13831.63</v>
      </c>
      <c r="H43" s="26">
        <f>G43*(0.72+J2)</f>
        <v>10926.9877</v>
      </c>
      <c r="I43" s="26">
        <f t="shared" si="11"/>
        <v>38407.291299999997</v>
      </c>
      <c r="J43" s="24">
        <f t="shared" si="12"/>
        <v>0.3976298027507964</v>
      </c>
      <c r="K43" s="24"/>
      <c r="N43" s="88">
        <v>42870</v>
      </c>
      <c r="O43" s="86">
        <f t="shared" si="13"/>
        <v>61458.455099999999</v>
      </c>
      <c r="P43" s="88">
        <v>42870</v>
      </c>
      <c r="R43" s="83">
        <f>S43</f>
        <v>-3199.9274999999998</v>
      </c>
      <c r="S43" s="83">
        <f t="shared" si="14"/>
        <v>-3199.9274999999998</v>
      </c>
    </row>
    <row r="44" spans="2:19" ht="15.75" customHeight="1">
      <c r="B44" s="23">
        <v>43083</v>
      </c>
      <c r="C44" s="26">
        <f t="shared" si="10"/>
        <v>38407.291299999997</v>
      </c>
      <c r="D44" s="26">
        <v>0</v>
      </c>
      <c r="E44" s="26">
        <v>0</v>
      </c>
      <c r="F44" s="26">
        <v>0</v>
      </c>
      <c r="G44" s="26">
        <v>649.87</v>
      </c>
      <c r="H44" s="26">
        <f>G44*(-3.55+J2)</f>
        <v>-2261.5475999999999</v>
      </c>
      <c r="I44" s="26">
        <f t="shared" si="11"/>
        <v>36145.743699999999</v>
      </c>
      <c r="J44" s="46">
        <f t="shared" si="12"/>
        <v>-5.8883288132323977E-2</v>
      </c>
      <c r="K44" s="24"/>
      <c r="N44" s="88">
        <v>42901</v>
      </c>
      <c r="O44" s="86">
        <f t="shared" si="13"/>
        <v>76719.95259999999</v>
      </c>
      <c r="P44" s="88">
        <v>42901</v>
      </c>
      <c r="Q44" s="89">
        <f>S44</f>
        <v>15261.497499999998</v>
      </c>
      <c r="S44" s="83">
        <f t="shared" si="14"/>
        <v>15261.497499999998</v>
      </c>
    </row>
    <row r="45" spans="2:19" ht="15.75" customHeight="1">
      <c r="B45" s="21"/>
      <c r="C45" s="21"/>
      <c r="D45" s="21"/>
      <c r="E45" s="21"/>
      <c r="F45" s="21"/>
      <c r="G45" s="21" t="s">
        <v>10</v>
      </c>
      <c r="H45" s="22" t="s">
        <v>11</v>
      </c>
      <c r="I45" s="21"/>
      <c r="J45" s="22" t="s">
        <v>11</v>
      </c>
      <c r="K45" s="22"/>
      <c r="N45" s="88">
        <v>42931</v>
      </c>
      <c r="O45" s="86">
        <f t="shared" si="13"/>
        <v>74601.277599999987</v>
      </c>
      <c r="P45" s="88">
        <v>42931</v>
      </c>
      <c r="R45" s="83">
        <f>S45</f>
        <v>-2118.6750000000002</v>
      </c>
      <c r="S45" s="83">
        <f t="shared" si="14"/>
        <v>-2118.6750000000002</v>
      </c>
    </row>
    <row r="46" spans="2:19" ht="15.75" customHeight="1">
      <c r="B46" s="21"/>
      <c r="C46" s="21"/>
      <c r="D46" s="21"/>
      <c r="E46" s="21"/>
      <c r="F46" s="48"/>
      <c r="G46" s="31">
        <v>23241.87</v>
      </c>
      <c r="H46" s="31">
        <f>SUM(H33:H45)</f>
        <v>11145.743700000001</v>
      </c>
      <c r="I46" s="30"/>
      <c r="J46" s="25">
        <f>H46/25000</f>
        <v>0.44582974800000003</v>
      </c>
      <c r="K46" s="161">
        <f>J46</f>
        <v>0.44582974800000003</v>
      </c>
      <c r="L46" s="3">
        <f>H46</f>
        <v>11145.743700000001</v>
      </c>
      <c r="M46" s="6">
        <v>12</v>
      </c>
      <c r="N46" s="88">
        <v>42962</v>
      </c>
      <c r="O46" s="86">
        <f t="shared" si="13"/>
        <v>73702.638099999982</v>
      </c>
      <c r="P46" s="88">
        <v>42962</v>
      </c>
      <c r="R46" s="83">
        <f>S46</f>
        <v>-898.6395</v>
      </c>
      <c r="S46" s="83">
        <f t="shared" si="14"/>
        <v>-898.6395</v>
      </c>
    </row>
    <row r="47" spans="2:19" ht="15.75" customHeight="1">
      <c r="B47" s="21"/>
      <c r="C47" s="21"/>
      <c r="D47" s="21"/>
      <c r="E47" s="21"/>
      <c r="F47" s="21"/>
      <c r="G47" s="21"/>
      <c r="H47" s="21"/>
      <c r="I47" s="21"/>
      <c r="J47" s="22"/>
      <c r="K47" s="22"/>
      <c r="N47" s="88">
        <v>42993</v>
      </c>
      <c r="O47" s="86">
        <f t="shared" si="13"/>
        <v>69534.906999999977</v>
      </c>
      <c r="P47" s="88">
        <v>42993</v>
      </c>
      <c r="R47" s="83">
        <f>S47</f>
        <v>-4167.7310999999991</v>
      </c>
      <c r="S47" s="83">
        <f t="shared" si="14"/>
        <v>-4167.7310999999991</v>
      </c>
    </row>
    <row r="48" spans="2:19" ht="15.75" customHeight="1">
      <c r="B48" s="23">
        <v>42750</v>
      </c>
      <c r="C48" s="26">
        <f>C33</f>
        <v>25000</v>
      </c>
      <c r="D48" s="26">
        <v>0</v>
      </c>
      <c r="E48" s="26">
        <v>-23241.87</v>
      </c>
      <c r="F48" s="26">
        <f>-H46</f>
        <v>-11145.743700000001</v>
      </c>
      <c r="G48" s="26">
        <v>6505.13</v>
      </c>
      <c r="H48" s="26">
        <f>G48*(0.57+J2)</f>
        <v>4163.2831999999999</v>
      </c>
      <c r="I48" s="26">
        <f>25000+H48</f>
        <v>29163.283199999998</v>
      </c>
      <c r="J48" s="24">
        <f>H48/25000</f>
        <v>0.16653132800000001</v>
      </c>
      <c r="K48" s="24"/>
      <c r="N48" s="88">
        <v>43023</v>
      </c>
      <c r="O48" s="86">
        <f t="shared" si="13"/>
        <v>68558.438499999975</v>
      </c>
      <c r="P48" s="88">
        <v>43023</v>
      </c>
      <c r="R48" s="83">
        <f>S48</f>
        <v>-976.46849999999984</v>
      </c>
      <c r="S48" s="83">
        <f t="shared" si="14"/>
        <v>-976.46849999999984</v>
      </c>
    </row>
    <row r="49" spans="2:19" ht="15.75" customHeight="1">
      <c r="B49" s="23">
        <v>42781</v>
      </c>
      <c r="C49" s="26">
        <f t="shared" ref="C49:C59" si="15">I48</f>
        <v>29163.283199999998</v>
      </c>
      <c r="D49" s="26">
        <v>0</v>
      </c>
      <c r="E49" s="26">
        <v>0</v>
      </c>
      <c r="F49" s="26">
        <v>0</v>
      </c>
      <c r="G49" s="26">
        <v>3844.37</v>
      </c>
      <c r="H49" s="26">
        <f>G49*(0.52+J2)</f>
        <v>2268.1783</v>
      </c>
      <c r="I49" s="26">
        <f t="shared" ref="I49:I59" si="16">I48+H49</f>
        <v>31431.461499999998</v>
      </c>
      <c r="J49" s="24">
        <f t="shared" ref="J49:J59" si="17">H49/I48</f>
        <v>7.7775135414108659E-2</v>
      </c>
      <c r="K49" s="24"/>
      <c r="N49" s="88">
        <v>43054</v>
      </c>
      <c r="O49" s="86">
        <f t="shared" si="13"/>
        <v>74750.924099999975</v>
      </c>
      <c r="P49" s="88">
        <v>43054</v>
      </c>
      <c r="Q49" s="89">
        <f>S49</f>
        <v>6192.4856000000009</v>
      </c>
      <c r="S49" s="83">
        <f t="shared" si="14"/>
        <v>6192.4856000000009</v>
      </c>
    </row>
    <row r="50" spans="2:19" ht="15.75" customHeight="1">
      <c r="B50" s="23">
        <v>42809</v>
      </c>
      <c r="C50" s="26">
        <f t="shared" si="15"/>
        <v>31431.461499999998</v>
      </c>
      <c r="D50" s="26">
        <v>0</v>
      </c>
      <c r="E50" s="26">
        <v>0</v>
      </c>
      <c r="F50" s="26">
        <v>0</v>
      </c>
      <c r="G50" s="26">
        <v>3133.13</v>
      </c>
      <c r="H50" s="26">
        <f>G50*(0.32+J2)</f>
        <v>1221.9207000000001</v>
      </c>
      <c r="I50" s="26">
        <f t="shared" si="16"/>
        <v>32653.382199999996</v>
      </c>
      <c r="J50" s="24">
        <f t="shared" si="17"/>
        <v>3.8875720112473935E-2</v>
      </c>
      <c r="K50" s="24"/>
      <c r="N50" s="88">
        <v>43084</v>
      </c>
      <c r="O50" s="86">
        <f t="shared" si="13"/>
        <v>74109.714099999968</v>
      </c>
      <c r="P50" s="88">
        <v>43084</v>
      </c>
      <c r="R50" s="83">
        <f>S50</f>
        <v>-641.21</v>
      </c>
      <c r="S50" s="83">
        <f t="shared" si="14"/>
        <v>-641.21</v>
      </c>
    </row>
    <row r="51" spans="2:19" ht="15.75" customHeight="1">
      <c r="B51" s="23">
        <v>42840</v>
      </c>
      <c r="C51" s="26">
        <f t="shared" si="15"/>
        <v>32653.382199999996</v>
      </c>
      <c r="D51" s="26">
        <v>0</v>
      </c>
      <c r="E51" s="26">
        <v>0</v>
      </c>
      <c r="F51" s="26">
        <v>0</v>
      </c>
      <c r="G51" s="26">
        <v>14122.25</v>
      </c>
      <c r="H51" s="26">
        <f>G51*(0.42+J2)</f>
        <v>6919.9025000000001</v>
      </c>
      <c r="I51" s="26">
        <f t="shared" si="16"/>
        <v>39573.284699999997</v>
      </c>
      <c r="J51" s="24">
        <f t="shared" si="17"/>
        <v>0.21191993091606912</v>
      </c>
      <c r="K51" s="24"/>
      <c r="N51" s="88">
        <v>42751</v>
      </c>
      <c r="O51" s="86">
        <f t="shared" si="13"/>
        <v>73501.226899999965</v>
      </c>
      <c r="P51" s="88">
        <v>42751</v>
      </c>
      <c r="R51" s="83">
        <f>S51</f>
        <v>-608.48720000000003</v>
      </c>
      <c r="S51" s="83">
        <f t="shared" ref="S51:S62" si="18">H63</f>
        <v>-608.48720000000003</v>
      </c>
    </row>
    <row r="52" spans="2:19" ht="15.75" customHeight="1">
      <c r="B52" s="23">
        <v>42870</v>
      </c>
      <c r="C52" s="26">
        <f t="shared" si="15"/>
        <v>39573.284699999997</v>
      </c>
      <c r="D52" s="26">
        <v>0</v>
      </c>
      <c r="E52" s="26">
        <v>0</v>
      </c>
      <c r="F52" s="26">
        <v>0</v>
      </c>
      <c r="G52" s="26">
        <v>-3232.25</v>
      </c>
      <c r="H52" s="26">
        <f>G52*(0.92+J2)</f>
        <v>-3199.9274999999998</v>
      </c>
      <c r="I52" s="26">
        <f t="shared" si="16"/>
        <v>36373.357199999999</v>
      </c>
      <c r="J52" s="46">
        <f t="shared" si="17"/>
        <v>-8.0860801024181847E-2</v>
      </c>
      <c r="K52" s="24"/>
      <c r="N52" s="88">
        <v>42782</v>
      </c>
      <c r="O52" s="86">
        <f t="shared" si="13"/>
        <v>82419.519399999961</v>
      </c>
      <c r="P52" s="88">
        <v>42782</v>
      </c>
      <c r="Q52" s="89">
        <f>S52</f>
        <v>8918.2925000000014</v>
      </c>
      <c r="S52" s="83">
        <f t="shared" si="18"/>
        <v>8918.2925000000014</v>
      </c>
    </row>
    <row r="53" spans="2:19" ht="15.75" customHeight="1">
      <c r="B53" s="23">
        <v>42901</v>
      </c>
      <c r="C53" s="26">
        <f t="shared" si="15"/>
        <v>36373.357199999999</v>
      </c>
      <c r="D53" s="26">
        <v>0</v>
      </c>
      <c r="E53" s="26">
        <v>0</v>
      </c>
      <c r="F53" s="26">
        <v>0</v>
      </c>
      <c r="G53" s="26">
        <v>17147.75</v>
      </c>
      <c r="H53" s="26">
        <f>G53*(0.82+J2)</f>
        <v>15261.497499999998</v>
      </c>
      <c r="I53" s="26">
        <f t="shared" si="16"/>
        <v>51634.854699999996</v>
      </c>
      <c r="J53" s="24">
        <f t="shared" si="17"/>
        <v>0.41957901812813686</v>
      </c>
      <c r="K53" s="24"/>
      <c r="N53" s="88">
        <v>42810</v>
      </c>
      <c r="O53" s="86">
        <f t="shared" si="13"/>
        <v>79663.794399999955</v>
      </c>
      <c r="P53" s="88">
        <v>42810</v>
      </c>
      <c r="R53" s="83">
        <f>S53</f>
        <v>-2755.7249999999999</v>
      </c>
      <c r="S53" s="83">
        <f t="shared" si="18"/>
        <v>-2755.7249999999999</v>
      </c>
    </row>
    <row r="54" spans="2:19" ht="15.75" customHeight="1">
      <c r="B54" s="23">
        <v>42931</v>
      </c>
      <c r="C54" s="26">
        <f t="shared" si="15"/>
        <v>51634.854699999996</v>
      </c>
      <c r="D54" s="26">
        <v>0</v>
      </c>
      <c r="E54" s="26">
        <v>0</v>
      </c>
      <c r="F54" s="26">
        <v>0</v>
      </c>
      <c r="G54" s="26">
        <v>-1998.75</v>
      </c>
      <c r="H54" s="26">
        <f>G54*(0.99+J2)</f>
        <v>-2118.6750000000002</v>
      </c>
      <c r="I54" s="26">
        <f t="shared" si="16"/>
        <v>49516.179699999993</v>
      </c>
      <c r="J54" s="46">
        <f t="shared" si="17"/>
        <v>-4.1031876865143972E-2</v>
      </c>
      <c r="K54" s="24"/>
      <c r="N54" s="88">
        <v>42841</v>
      </c>
      <c r="O54" s="86">
        <f t="shared" si="13"/>
        <v>85869.124999999956</v>
      </c>
      <c r="P54" s="88">
        <v>42841</v>
      </c>
      <c r="Q54" s="89">
        <f>S54</f>
        <v>6205.3306000000002</v>
      </c>
      <c r="S54" s="83">
        <f t="shared" si="18"/>
        <v>6205.3306000000002</v>
      </c>
    </row>
    <row r="55" spans="2:19" ht="15.75" customHeight="1">
      <c r="B55" s="23">
        <v>42962</v>
      </c>
      <c r="C55" s="26">
        <f t="shared" si="15"/>
        <v>49516.179699999993</v>
      </c>
      <c r="D55" s="26">
        <v>0</v>
      </c>
      <c r="E55" s="26">
        <v>0</v>
      </c>
      <c r="F55" s="26">
        <v>0</v>
      </c>
      <c r="G55" s="26">
        <v>544.63</v>
      </c>
      <c r="H55" s="26">
        <f>G55*(-1.72+J2)</f>
        <v>-898.6395</v>
      </c>
      <c r="I55" s="26">
        <f t="shared" si="16"/>
        <v>48617.540199999996</v>
      </c>
      <c r="J55" s="46">
        <f t="shared" si="17"/>
        <v>-1.8148401299222204E-2</v>
      </c>
      <c r="K55" s="24"/>
      <c r="N55" s="88">
        <v>42871</v>
      </c>
      <c r="O55" s="86">
        <f t="shared" si="13"/>
        <v>81032.799999999959</v>
      </c>
      <c r="P55" s="88">
        <v>42871</v>
      </c>
      <c r="R55" s="83">
        <f>S55</f>
        <v>-4836.3249999999998</v>
      </c>
      <c r="S55" s="83">
        <f t="shared" si="18"/>
        <v>-4836.3249999999998</v>
      </c>
    </row>
    <row r="56" spans="2:19" ht="15.75" customHeight="1">
      <c r="B56" s="23">
        <v>42993</v>
      </c>
      <c r="C56" s="26">
        <f t="shared" si="15"/>
        <v>48617.540199999996</v>
      </c>
      <c r="D56" s="26">
        <v>0</v>
      </c>
      <c r="E56" s="26">
        <v>0</v>
      </c>
      <c r="F56" s="26">
        <v>0</v>
      </c>
      <c r="G56" s="26">
        <v>-6040.19</v>
      </c>
      <c r="H56" s="26">
        <f>G56*(0.62+J2)</f>
        <v>-4167.7310999999991</v>
      </c>
      <c r="I56" s="26">
        <f t="shared" si="16"/>
        <v>44449.809099999999</v>
      </c>
      <c r="J56" s="46">
        <f t="shared" si="17"/>
        <v>-8.5724845042653958E-2</v>
      </c>
      <c r="K56" s="24"/>
      <c r="N56" s="88">
        <v>42902</v>
      </c>
      <c r="O56" s="86">
        <f t="shared" si="13"/>
        <v>89074.240399999966</v>
      </c>
      <c r="P56" s="88">
        <v>42902</v>
      </c>
      <c r="Q56" s="89">
        <f>S56</f>
        <v>8041.4404000000004</v>
      </c>
      <c r="S56" s="83">
        <f t="shared" si="18"/>
        <v>8041.4404000000004</v>
      </c>
    </row>
    <row r="57" spans="2:19" ht="15.75" customHeight="1">
      <c r="B57" s="23">
        <v>43023</v>
      </c>
      <c r="C57" s="26">
        <f t="shared" si="15"/>
        <v>44449.809099999999</v>
      </c>
      <c r="D57" s="26">
        <v>0</v>
      </c>
      <c r="E57" s="26">
        <v>0</v>
      </c>
      <c r="F57" s="26">
        <v>0</v>
      </c>
      <c r="G57" s="26">
        <v>723.31</v>
      </c>
      <c r="H57" s="26">
        <f>G57*(-1.42+J2)</f>
        <v>-976.46849999999984</v>
      </c>
      <c r="I57" s="26">
        <f t="shared" si="16"/>
        <v>43473.340599999996</v>
      </c>
      <c r="J57" s="46">
        <f t="shared" si="17"/>
        <v>-2.1967889621375223E-2</v>
      </c>
      <c r="K57" s="24"/>
      <c r="N57" s="88">
        <v>42932</v>
      </c>
      <c r="O57" s="86">
        <f t="shared" si="13"/>
        <v>93915.880699999965</v>
      </c>
      <c r="P57" s="88">
        <v>42932</v>
      </c>
      <c r="Q57" s="89">
        <f>S57</f>
        <v>4841.6402999999991</v>
      </c>
      <c r="S57" s="83">
        <f t="shared" si="18"/>
        <v>4841.6402999999991</v>
      </c>
    </row>
    <row r="58" spans="2:19" ht="15.75" customHeight="1">
      <c r="B58" s="23">
        <v>43054</v>
      </c>
      <c r="C58" s="26">
        <f t="shared" si="15"/>
        <v>43473.340599999996</v>
      </c>
      <c r="D58" s="26">
        <v>0</v>
      </c>
      <c r="E58" s="26">
        <v>0</v>
      </c>
      <c r="F58" s="26">
        <v>0</v>
      </c>
      <c r="G58" s="26">
        <v>9987.8799999999992</v>
      </c>
      <c r="H58" s="26">
        <f>G58*(0.55+J2)</f>
        <v>6192.4856000000009</v>
      </c>
      <c r="I58" s="26">
        <f t="shared" si="16"/>
        <v>49665.826199999996</v>
      </c>
      <c r="J58" s="24">
        <f t="shared" si="17"/>
        <v>0.1424432885656825</v>
      </c>
      <c r="K58" s="24"/>
      <c r="N58" s="88">
        <v>42963</v>
      </c>
      <c r="O58" s="86">
        <f t="shared" si="13"/>
        <v>99473.665099999969</v>
      </c>
      <c r="P58" s="88">
        <v>42963</v>
      </c>
      <c r="Q58" s="89">
        <f>S58</f>
        <v>5557.7843999999996</v>
      </c>
      <c r="S58" s="83">
        <f t="shared" si="18"/>
        <v>5557.7843999999996</v>
      </c>
    </row>
    <row r="59" spans="2:19" ht="15.75" customHeight="1">
      <c r="B59" s="23">
        <v>43084</v>
      </c>
      <c r="C59" s="26">
        <f t="shared" si="15"/>
        <v>49665.826199999996</v>
      </c>
      <c r="D59" s="26">
        <v>0</v>
      </c>
      <c r="E59" s="26">
        <v>0</v>
      </c>
      <c r="F59" s="26">
        <v>0</v>
      </c>
      <c r="G59" s="26">
        <v>-866.5</v>
      </c>
      <c r="H59" s="26">
        <f>G59*(0.67+J2)</f>
        <v>-641.21</v>
      </c>
      <c r="I59" s="26">
        <f t="shared" si="16"/>
        <v>49024.616199999997</v>
      </c>
      <c r="J59" s="46">
        <f t="shared" si="17"/>
        <v>-1.2910486929541909E-2</v>
      </c>
      <c r="K59" s="24"/>
      <c r="N59" s="88">
        <v>42994</v>
      </c>
      <c r="O59" s="86">
        <f t="shared" si="13"/>
        <v>96675.549499999965</v>
      </c>
      <c r="P59" s="88">
        <v>42994</v>
      </c>
      <c r="R59" s="83">
        <f>S59</f>
        <v>-2798.1155999999996</v>
      </c>
      <c r="S59" s="83">
        <f t="shared" si="18"/>
        <v>-2798.1155999999996</v>
      </c>
    </row>
    <row r="60" spans="2:19" ht="15.75" customHeight="1">
      <c r="B60" s="21"/>
      <c r="C60" s="26"/>
      <c r="D60" s="21"/>
      <c r="E60" s="21"/>
      <c r="F60" s="21"/>
      <c r="G60" s="21" t="s">
        <v>10</v>
      </c>
      <c r="H60" s="22" t="s">
        <v>11</v>
      </c>
      <c r="I60" s="21"/>
      <c r="J60" s="22" t="s">
        <v>11</v>
      </c>
      <c r="K60" s="22"/>
      <c r="N60" s="88">
        <v>43024</v>
      </c>
      <c r="O60" s="86">
        <f t="shared" si="13"/>
        <v>102890.53279999997</v>
      </c>
      <c r="P60" s="88">
        <v>43024</v>
      </c>
      <c r="Q60" s="89">
        <f>S60</f>
        <v>6214.9833000000017</v>
      </c>
      <c r="S60" s="83">
        <f t="shared" si="18"/>
        <v>6214.9833000000017</v>
      </c>
    </row>
    <row r="61" spans="2:19" ht="15.75" customHeight="1">
      <c r="B61" s="21"/>
      <c r="C61" s="21"/>
      <c r="D61" s="21"/>
      <c r="E61" s="21"/>
      <c r="F61" s="48"/>
      <c r="G61" s="31">
        <v>43870.76</v>
      </c>
      <c r="H61" s="31">
        <f>SUM(H48:H60)</f>
        <v>24024.6162</v>
      </c>
      <c r="I61" s="30"/>
      <c r="J61" s="25">
        <f>H61/25000</f>
        <v>0.96098464800000005</v>
      </c>
      <c r="K61" s="161">
        <f>J61</f>
        <v>0.96098464800000005</v>
      </c>
      <c r="L61" s="3">
        <f>H61</f>
        <v>24024.6162</v>
      </c>
      <c r="M61" s="6">
        <v>12</v>
      </c>
      <c r="N61" s="88">
        <v>43055</v>
      </c>
      <c r="O61" s="86">
        <f t="shared" si="13"/>
        <v>100635.88039999997</v>
      </c>
      <c r="P61" s="88">
        <v>43055</v>
      </c>
      <c r="R61" s="83">
        <f>S61</f>
        <v>-2254.6523999999999</v>
      </c>
      <c r="S61" s="83">
        <f t="shared" si="18"/>
        <v>-2254.6523999999999</v>
      </c>
    </row>
    <row r="62" spans="2:19" ht="15.75" customHeight="1">
      <c r="B62" s="21"/>
      <c r="C62" s="21"/>
      <c r="D62" s="21"/>
      <c r="E62" s="21"/>
      <c r="F62" s="21"/>
      <c r="G62" s="21"/>
      <c r="H62" s="21"/>
      <c r="I62" s="21"/>
      <c r="J62" s="22"/>
      <c r="K62" s="22"/>
      <c r="N62" s="88">
        <v>43085</v>
      </c>
      <c r="O62" s="86">
        <f t="shared" si="13"/>
        <v>99927.441199999972</v>
      </c>
      <c r="P62" s="88">
        <v>43085</v>
      </c>
      <c r="R62" s="83">
        <f>S62</f>
        <v>-708.43920000000003</v>
      </c>
      <c r="S62" s="83">
        <f t="shared" si="18"/>
        <v>-708.43920000000003</v>
      </c>
    </row>
    <row r="63" spans="2:19" ht="15.75" customHeight="1">
      <c r="B63" s="23">
        <v>42751</v>
      </c>
      <c r="C63" s="26">
        <f>C48</f>
        <v>25000</v>
      </c>
      <c r="D63" s="26">
        <v>0</v>
      </c>
      <c r="E63" s="26">
        <v>-43870.76</v>
      </c>
      <c r="F63" s="26">
        <f>-H61</f>
        <v>-24024.6162</v>
      </c>
      <c r="G63" s="26">
        <v>-249.38</v>
      </c>
      <c r="H63" s="26">
        <f>G63*(2.37+J2)</f>
        <v>-608.48720000000003</v>
      </c>
      <c r="I63" s="26">
        <f>25000+H63</f>
        <v>24391.5128</v>
      </c>
      <c r="J63" s="46">
        <f>H63/25000</f>
        <v>-2.4339488000000003E-2</v>
      </c>
      <c r="K63" s="24"/>
      <c r="N63" s="88">
        <v>42752</v>
      </c>
      <c r="O63" s="86">
        <f t="shared" si="13"/>
        <v>111038.28279999997</v>
      </c>
      <c r="P63" s="88">
        <v>42752</v>
      </c>
      <c r="Q63" s="89">
        <f>S63</f>
        <v>11110.841599999998</v>
      </c>
      <c r="S63" s="83">
        <f t="shared" ref="S63:S74" si="19">H78</f>
        <v>11110.841599999998</v>
      </c>
    </row>
    <row r="64" spans="2:19" ht="15.75" customHeight="1">
      <c r="B64" s="23">
        <v>42782</v>
      </c>
      <c r="C64" s="26">
        <f t="shared" ref="C64:C74" si="20">I63</f>
        <v>24391.5128</v>
      </c>
      <c r="D64" s="26">
        <v>0</v>
      </c>
      <c r="E64" s="26">
        <v>0</v>
      </c>
      <c r="F64" s="26">
        <v>0</v>
      </c>
      <c r="G64" s="26">
        <v>15115.75</v>
      </c>
      <c r="H64" s="26">
        <f>G64*(0.52+J2)</f>
        <v>8918.2925000000014</v>
      </c>
      <c r="I64" s="26">
        <f t="shared" ref="I64:I74" si="21">I63+H64</f>
        <v>33309.8053</v>
      </c>
      <c r="J64" s="24">
        <f t="shared" ref="J64:J74" si="22">H64/I63</f>
        <v>0.36563097062187966</v>
      </c>
      <c r="K64" s="24"/>
      <c r="N64" s="88">
        <v>42783</v>
      </c>
      <c r="O64" s="86">
        <f t="shared" si="13"/>
        <v>109048.87949999997</v>
      </c>
      <c r="P64" s="88">
        <v>42783</v>
      </c>
      <c r="R64" s="83">
        <f>S64</f>
        <v>-1989.4033000000002</v>
      </c>
      <c r="S64" s="83">
        <f t="shared" si="19"/>
        <v>-1989.4033000000002</v>
      </c>
    </row>
    <row r="65" spans="2:19" ht="15.75" customHeight="1">
      <c r="B65" s="23">
        <v>42810</v>
      </c>
      <c r="C65" s="26">
        <f t="shared" si="20"/>
        <v>33309.8053</v>
      </c>
      <c r="D65" s="26">
        <v>0</v>
      </c>
      <c r="E65" s="26">
        <v>0</v>
      </c>
      <c r="F65" s="26">
        <v>0</v>
      </c>
      <c r="G65" s="26">
        <v>633.5</v>
      </c>
      <c r="H65" s="26">
        <f>G65*(-4.42+J2)</f>
        <v>-2755.7249999999999</v>
      </c>
      <c r="I65" s="26">
        <f t="shared" si="21"/>
        <v>30554.080300000001</v>
      </c>
      <c r="J65" s="46">
        <f t="shared" si="22"/>
        <v>-8.2730144327802471E-2</v>
      </c>
      <c r="K65" s="24"/>
      <c r="N65" s="88">
        <v>42811</v>
      </c>
      <c r="O65" s="86">
        <f t="shared" si="13"/>
        <v>111837.23129999997</v>
      </c>
      <c r="P65" s="88">
        <v>42811</v>
      </c>
      <c r="Q65" s="89">
        <f>S65</f>
        <v>2788.3517999999999</v>
      </c>
      <c r="S65" s="83">
        <f t="shared" si="19"/>
        <v>2788.3517999999999</v>
      </c>
    </row>
    <row r="66" spans="2:19" ht="15.75" customHeight="1">
      <c r="B66" s="23">
        <v>42841</v>
      </c>
      <c r="C66" s="26">
        <f t="shared" si="20"/>
        <v>30554.080300000001</v>
      </c>
      <c r="D66" s="26">
        <v>0</v>
      </c>
      <c r="E66" s="26">
        <v>0</v>
      </c>
      <c r="F66" s="26">
        <v>0</v>
      </c>
      <c r="G66" s="26">
        <v>12663.94</v>
      </c>
      <c r="H66" s="26">
        <f>G66*(0.42+J2)</f>
        <v>6205.3306000000002</v>
      </c>
      <c r="I66" s="26">
        <f t="shared" si="21"/>
        <v>36759.410900000003</v>
      </c>
      <c r="J66" s="24">
        <f t="shared" si="22"/>
        <v>0.20309335247770491</v>
      </c>
      <c r="K66" s="24"/>
      <c r="N66" s="88">
        <v>42842</v>
      </c>
      <c r="O66" s="86">
        <f t="shared" si="13"/>
        <v>110541.18129999997</v>
      </c>
      <c r="P66" s="88">
        <v>42842</v>
      </c>
      <c r="R66" s="83">
        <f>S66</f>
        <v>-1296.05</v>
      </c>
      <c r="S66" s="83">
        <f t="shared" si="19"/>
        <v>-1296.05</v>
      </c>
    </row>
    <row r="67" spans="2:19" ht="15.75" customHeight="1">
      <c r="B67" s="23">
        <v>42871</v>
      </c>
      <c r="C67" s="26">
        <f t="shared" si="20"/>
        <v>36759.410900000003</v>
      </c>
      <c r="D67" s="26">
        <v>0</v>
      </c>
      <c r="E67" s="26">
        <v>0</v>
      </c>
      <c r="F67" s="26">
        <v>0</v>
      </c>
      <c r="G67" s="26">
        <v>4205.5</v>
      </c>
      <c r="H67" s="26">
        <f>G67*(-1.22+J2)</f>
        <v>-4836.3249999999998</v>
      </c>
      <c r="I67" s="26">
        <f t="shared" si="21"/>
        <v>31923.085900000002</v>
      </c>
      <c r="J67" s="24">
        <f t="shared" si="22"/>
        <v>-0.13156698874083425</v>
      </c>
      <c r="K67" s="24"/>
      <c r="N67" s="88">
        <v>42872</v>
      </c>
      <c r="O67" s="86">
        <f t="shared" si="13"/>
        <v>111007.09509999996</v>
      </c>
      <c r="P67" s="88">
        <v>42872</v>
      </c>
      <c r="Q67" s="89">
        <f>S67</f>
        <v>465.91379999999998</v>
      </c>
      <c r="S67" s="83">
        <f t="shared" si="19"/>
        <v>465.91379999999998</v>
      </c>
    </row>
    <row r="68" spans="2:19" ht="15.75" customHeight="1">
      <c r="B68" s="23">
        <v>42902</v>
      </c>
      <c r="C68" s="26">
        <f t="shared" si="20"/>
        <v>31923.085900000002</v>
      </c>
      <c r="D68" s="26">
        <v>0</v>
      </c>
      <c r="E68" s="26">
        <v>0</v>
      </c>
      <c r="F68" s="26">
        <v>0</v>
      </c>
      <c r="G68" s="26">
        <v>13629.56</v>
      </c>
      <c r="H68" s="26">
        <f>G68*(0.52+J2)</f>
        <v>8041.4404000000004</v>
      </c>
      <c r="I68" s="26">
        <f t="shared" si="21"/>
        <v>39964.526300000005</v>
      </c>
      <c r="J68" s="24">
        <f t="shared" si="22"/>
        <v>0.25190047181497577</v>
      </c>
      <c r="K68" s="24"/>
      <c r="N68" s="88">
        <v>42903</v>
      </c>
      <c r="O68" s="86">
        <f t="shared" si="13"/>
        <v>113102.99169999996</v>
      </c>
      <c r="P68" s="88">
        <v>42903</v>
      </c>
      <c r="Q68" s="89">
        <f>S68</f>
        <v>2095.8966</v>
      </c>
      <c r="S68" s="83">
        <f t="shared" si="19"/>
        <v>2095.8966</v>
      </c>
    </row>
    <row r="69" spans="2:19" ht="15.75" customHeight="1">
      <c r="B69" s="23">
        <v>42932</v>
      </c>
      <c r="C69" s="26">
        <f t="shared" si="20"/>
        <v>39964.526300000005</v>
      </c>
      <c r="D69" s="26">
        <v>0</v>
      </c>
      <c r="E69" s="26">
        <v>0</v>
      </c>
      <c r="F69" s="26">
        <v>0</v>
      </c>
      <c r="G69" s="26">
        <v>7016.87</v>
      </c>
      <c r="H69" s="26">
        <f>G69*(0.62+J2)</f>
        <v>4841.6402999999991</v>
      </c>
      <c r="I69" s="26">
        <f t="shared" si="21"/>
        <v>44806.166600000004</v>
      </c>
      <c r="J69" s="24">
        <f t="shared" si="22"/>
        <v>0.12114844709168987</v>
      </c>
      <c r="K69" s="24"/>
      <c r="N69" s="88">
        <v>42933</v>
      </c>
      <c r="O69" s="86">
        <f t="shared" si="13"/>
        <v>118017.68919999995</v>
      </c>
      <c r="P69" s="88">
        <v>42933</v>
      </c>
      <c r="Q69" s="89">
        <f>S69</f>
        <v>4914.6974999999993</v>
      </c>
      <c r="S69" s="83">
        <f t="shared" si="19"/>
        <v>4914.6974999999993</v>
      </c>
    </row>
    <row r="70" spans="2:19" ht="15.75" customHeight="1">
      <c r="B70" s="23">
        <v>42963</v>
      </c>
      <c r="C70" s="26">
        <f t="shared" si="20"/>
        <v>44806.166600000004</v>
      </c>
      <c r="D70" s="26">
        <v>0</v>
      </c>
      <c r="E70" s="26">
        <v>0</v>
      </c>
      <c r="F70" s="26">
        <v>0</v>
      </c>
      <c r="G70" s="26">
        <v>8054.76</v>
      </c>
      <c r="H70" s="26">
        <f>G70*(0.62+J2)</f>
        <v>5557.7843999999996</v>
      </c>
      <c r="I70" s="26">
        <f t="shared" si="21"/>
        <v>50363.951000000001</v>
      </c>
      <c r="J70" s="24">
        <f t="shared" si="22"/>
        <v>0.12404061364178383</v>
      </c>
      <c r="K70" s="24"/>
      <c r="N70" s="88">
        <v>42964</v>
      </c>
      <c r="O70" s="86">
        <f t="shared" si="13"/>
        <v>121653.12669999995</v>
      </c>
      <c r="P70" s="88">
        <v>42964</v>
      </c>
      <c r="Q70" s="89">
        <f>S70</f>
        <v>3635.4374999999995</v>
      </c>
      <c r="S70" s="83">
        <f t="shared" si="19"/>
        <v>3635.4374999999995</v>
      </c>
    </row>
    <row r="71" spans="2:19" ht="15.75" customHeight="1">
      <c r="B71" s="23">
        <v>42994</v>
      </c>
      <c r="C71" s="26">
        <f t="shared" si="20"/>
        <v>50363.951000000001</v>
      </c>
      <c r="D71" s="26">
        <v>0</v>
      </c>
      <c r="E71" s="26">
        <v>0</v>
      </c>
      <c r="F71" s="26">
        <v>0</v>
      </c>
      <c r="G71" s="26">
        <v>-5710.44</v>
      </c>
      <c r="H71" s="26">
        <f>G71*(0.42+J2)</f>
        <v>-2798.1155999999996</v>
      </c>
      <c r="I71" s="26">
        <f t="shared" si="21"/>
        <v>47565.835400000004</v>
      </c>
      <c r="J71" s="46">
        <f t="shared" si="22"/>
        <v>-5.5557904899081481E-2</v>
      </c>
      <c r="K71" s="24"/>
      <c r="N71" s="88">
        <v>42995</v>
      </c>
      <c r="O71" s="86">
        <f t="shared" ref="O71:O94" si="23">O70+S71</f>
        <v>126094.36419999995</v>
      </c>
      <c r="P71" s="88">
        <v>42995</v>
      </c>
      <c r="Q71" s="89">
        <f>S71</f>
        <v>4441.2375000000002</v>
      </c>
      <c r="S71" s="83">
        <f t="shared" si="19"/>
        <v>4441.2375000000002</v>
      </c>
    </row>
    <row r="72" spans="2:19" ht="15.75" customHeight="1">
      <c r="B72" s="23">
        <v>43024</v>
      </c>
      <c r="C72" s="26">
        <f t="shared" si="20"/>
        <v>47565.835400000004</v>
      </c>
      <c r="D72" s="26">
        <v>0</v>
      </c>
      <c r="E72" s="26">
        <v>0</v>
      </c>
      <c r="F72" s="26">
        <v>0</v>
      </c>
      <c r="G72" s="26">
        <v>10533.87</v>
      </c>
      <c r="H72" s="26">
        <f>G72*(0.52+J2)</f>
        <v>6214.9833000000017</v>
      </c>
      <c r="I72" s="26">
        <f t="shared" si="21"/>
        <v>53780.818700000003</v>
      </c>
      <c r="J72" s="24">
        <f t="shared" si="22"/>
        <v>0.13066065691342826</v>
      </c>
      <c r="K72" s="24"/>
      <c r="N72" s="88">
        <v>43025</v>
      </c>
      <c r="O72" s="86">
        <f t="shared" si="23"/>
        <v>125076.80169999995</v>
      </c>
      <c r="P72" s="88">
        <v>43025</v>
      </c>
      <c r="R72" s="83">
        <f>S72</f>
        <v>-1017.5625</v>
      </c>
      <c r="S72" s="83">
        <f t="shared" si="19"/>
        <v>-1017.5625</v>
      </c>
    </row>
    <row r="73" spans="2:19" ht="15.75" customHeight="1">
      <c r="B73" s="23">
        <v>43055</v>
      </c>
      <c r="C73" s="26">
        <f t="shared" si="20"/>
        <v>53780.818700000003</v>
      </c>
      <c r="D73" s="26">
        <v>0</v>
      </c>
      <c r="E73" s="26">
        <v>0</v>
      </c>
      <c r="F73" s="26">
        <v>0</v>
      </c>
      <c r="G73" s="26">
        <v>-4335.87</v>
      </c>
      <c r="H73" s="26">
        <f>G73*(0.45+J2)</f>
        <v>-2254.6523999999999</v>
      </c>
      <c r="I73" s="26">
        <f t="shared" si="21"/>
        <v>51526.166300000004</v>
      </c>
      <c r="J73" s="46">
        <f t="shared" si="22"/>
        <v>-4.1922983965285002E-2</v>
      </c>
      <c r="K73" s="24"/>
      <c r="N73" s="88">
        <v>43056</v>
      </c>
      <c r="O73" s="86">
        <f t="shared" si="23"/>
        <v>124057.83169999995</v>
      </c>
      <c r="P73" s="88">
        <v>43056</v>
      </c>
      <c r="R73" s="83">
        <f>S73</f>
        <v>-1018.97</v>
      </c>
      <c r="S73" s="83">
        <f t="shared" si="19"/>
        <v>-1018.97</v>
      </c>
    </row>
    <row r="74" spans="2:19" ht="15.75" customHeight="1">
      <c r="B74" s="23">
        <v>43085</v>
      </c>
      <c r="C74" s="26">
        <f t="shared" si="20"/>
        <v>51526.166300000004</v>
      </c>
      <c r="D74" s="26">
        <v>0</v>
      </c>
      <c r="E74" s="26">
        <v>0</v>
      </c>
      <c r="F74" s="26">
        <v>0</v>
      </c>
      <c r="G74" s="26">
        <v>-843.38</v>
      </c>
      <c r="H74" s="26">
        <f>G74*(0.77+J2)</f>
        <v>-708.43920000000003</v>
      </c>
      <c r="I74" s="26">
        <f t="shared" si="21"/>
        <v>50817.727100000004</v>
      </c>
      <c r="J74" s="46">
        <f t="shared" si="22"/>
        <v>-1.374911527233106E-2</v>
      </c>
      <c r="K74" s="24"/>
      <c r="N74" s="88">
        <v>43086</v>
      </c>
      <c r="O74" s="86">
        <f t="shared" si="23"/>
        <v>119532.33169999995</v>
      </c>
      <c r="P74" s="88">
        <v>43086</v>
      </c>
      <c r="R74" s="83">
        <f>S74</f>
        <v>-4525.5</v>
      </c>
      <c r="S74" s="83">
        <f t="shared" si="19"/>
        <v>-4525.5</v>
      </c>
    </row>
    <row r="75" spans="2:19" ht="15.75" customHeight="1">
      <c r="B75" s="21"/>
      <c r="C75" s="21"/>
      <c r="D75" s="21"/>
      <c r="E75" s="21"/>
      <c r="F75" s="21"/>
      <c r="G75" s="21" t="s">
        <v>10</v>
      </c>
      <c r="H75" s="22" t="s">
        <v>11</v>
      </c>
      <c r="I75" s="21"/>
      <c r="J75" s="22" t="s">
        <v>11</v>
      </c>
      <c r="K75" s="22"/>
      <c r="N75" s="88" t="s">
        <v>38</v>
      </c>
      <c r="O75" s="86">
        <f t="shared" si="23"/>
        <v>134037.91879999996</v>
      </c>
      <c r="P75" s="88" t="s">
        <v>38</v>
      </c>
      <c r="Q75" s="89">
        <f>S75</f>
        <v>14505.587099999999</v>
      </c>
      <c r="S75" s="83">
        <f t="shared" ref="S75:S86" si="24">H93</f>
        <v>14505.587099999999</v>
      </c>
    </row>
    <row r="76" spans="2:19" ht="15.75" customHeight="1">
      <c r="B76" s="21"/>
      <c r="C76" s="21"/>
      <c r="D76" s="21"/>
      <c r="E76" s="21"/>
      <c r="F76" s="48"/>
      <c r="G76" s="31">
        <v>60714.68</v>
      </c>
      <c r="H76" s="31">
        <f>SUM(H63:H75)</f>
        <v>25817.727100000004</v>
      </c>
      <c r="I76" s="30"/>
      <c r="J76" s="25">
        <f>H76/25000</f>
        <v>1.0327090840000002</v>
      </c>
      <c r="K76" s="161">
        <f>J76</f>
        <v>1.0327090840000002</v>
      </c>
      <c r="L76" s="3">
        <f>H76</f>
        <v>25817.727100000004</v>
      </c>
      <c r="M76" s="6">
        <v>12</v>
      </c>
      <c r="N76" s="88" t="s">
        <v>62</v>
      </c>
      <c r="O76" s="86">
        <f t="shared" si="23"/>
        <v>128858.02969999996</v>
      </c>
      <c r="P76" s="88" t="s">
        <v>62</v>
      </c>
      <c r="R76" s="83">
        <f>S76</f>
        <v>-5179.8891000000003</v>
      </c>
      <c r="S76" s="83">
        <f t="shared" si="24"/>
        <v>-5179.8891000000003</v>
      </c>
    </row>
    <row r="77" spans="2:19" ht="15.75" customHeight="1">
      <c r="B77" s="21"/>
      <c r="C77" s="21"/>
      <c r="D77" s="21"/>
      <c r="E77" s="21"/>
      <c r="F77" s="21"/>
      <c r="G77" s="21"/>
      <c r="H77" s="21"/>
      <c r="I77" s="21"/>
      <c r="J77" s="22"/>
      <c r="K77" s="22"/>
      <c r="N77" s="88" t="s">
        <v>77</v>
      </c>
      <c r="O77" s="86">
        <f t="shared" si="23"/>
        <v>125556.59969999996</v>
      </c>
      <c r="P77" s="88" t="s">
        <v>77</v>
      </c>
      <c r="R77" s="83">
        <f>S77</f>
        <v>-3301.4300000000003</v>
      </c>
      <c r="S77" s="83">
        <f t="shared" si="24"/>
        <v>-3301.4300000000003</v>
      </c>
    </row>
    <row r="78" spans="2:19" ht="15.75" customHeight="1">
      <c r="B78" s="23">
        <v>42752</v>
      </c>
      <c r="C78" s="26">
        <f>C63</f>
        <v>25000</v>
      </c>
      <c r="D78" s="26">
        <v>0</v>
      </c>
      <c r="E78" s="26">
        <v>-60714.68</v>
      </c>
      <c r="F78" s="26">
        <f>-H76</f>
        <v>-25817.727100000004</v>
      </c>
      <c r="G78" s="26">
        <v>17360.689999999999</v>
      </c>
      <c r="H78" s="26">
        <f>G78*(0.57+J2)</f>
        <v>11110.841599999998</v>
      </c>
      <c r="I78" s="26">
        <f>25000+H78</f>
        <v>36110.8416</v>
      </c>
      <c r="J78" s="24">
        <f>H78/25000</f>
        <v>0.4444336639999999</v>
      </c>
      <c r="K78" s="24"/>
      <c r="N78" s="88" t="s">
        <v>78</v>
      </c>
      <c r="O78" s="86">
        <f t="shared" si="23"/>
        <v>136445.08379999996</v>
      </c>
      <c r="P78" s="88" t="s">
        <v>78</v>
      </c>
      <c r="Q78" s="89">
        <f>S78</f>
        <v>10888.4841</v>
      </c>
      <c r="S78" s="83">
        <f t="shared" si="24"/>
        <v>10888.4841</v>
      </c>
    </row>
    <row r="79" spans="2:19" ht="15.75" customHeight="1">
      <c r="B79" s="23">
        <v>42783</v>
      </c>
      <c r="C79" s="26">
        <f t="shared" ref="C79:C89" si="25">I78</f>
        <v>36110.8416</v>
      </c>
      <c r="D79" s="26">
        <v>0</v>
      </c>
      <c r="E79" s="26">
        <v>0</v>
      </c>
      <c r="F79" s="26">
        <v>0</v>
      </c>
      <c r="G79" s="26">
        <v>-3371.87</v>
      </c>
      <c r="H79" s="26">
        <f>G79*(0.52+J2)</f>
        <v>-1989.4033000000002</v>
      </c>
      <c r="I79" s="26">
        <f t="shared" ref="I79:I89" si="26">I78+H79</f>
        <v>34121.438300000002</v>
      </c>
      <c r="J79" s="46">
        <f t="shared" ref="J79:J89" si="27">H79/I78</f>
        <v>-5.5091579477339024E-2</v>
      </c>
      <c r="K79" s="24"/>
      <c r="N79" s="88" t="s">
        <v>79</v>
      </c>
      <c r="O79" s="86">
        <f t="shared" si="23"/>
        <v>142349.80379999997</v>
      </c>
      <c r="P79" s="88" t="s">
        <v>79</v>
      </c>
      <c r="Q79" s="89">
        <f>S79</f>
        <v>5904.7200000000012</v>
      </c>
      <c r="S79" s="83">
        <f t="shared" si="24"/>
        <v>5904.7200000000012</v>
      </c>
    </row>
    <row r="80" spans="2:19" ht="15.75" customHeight="1">
      <c r="B80" s="23">
        <v>42811</v>
      </c>
      <c r="C80" s="26">
        <f t="shared" si="25"/>
        <v>34121.438300000002</v>
      </c>
      <c r="D80" s="26">
        <v>0</v>
      </c>
      <c r="E80" s="26">
        <v>0</v>
      </c>
      <c r="F80" s="26">
        <v>0</v>
      </c>
      <c r="G80" s="26">
        <v>7149.62</v>
      </c>
      <c r="H80" s="26">
        <f>G80*(0.32+J2)</f>
        <v>2788.3517999999999</v>
      </c>
      <c r="I80" s="26">
        <f t="shared" si="26"/>
        <v>36909.790099999998</v>
      </c>
      <c r="J80" s="24">
        <f t="shared" si="27"/>
        <v>8.1718471990672198E-2</v>
      </c>
      <c r="K80" s="24"/>
      <c r="N80" s="88" t="s">
        <v>80</v>
      </c>
      <c r="O80" s="86">
        <f t="shared" si="23"/>
        <v>145192.67459999997</v>
      </c>
      <c r="P80" s="88" t="s">
        <v>80</v>
      </c>
      <c r="Q80" s="89">
        <f>S80</f>
        <v>2842.8707999999997</v>
      </c>
      <c r="S80" s="83">
        <f t="shared" si="24"/>
        <v>2842.8707999999997</v>
      </c>
    </row>
    <row r="81" spans="2:19" ht="15.75" customHeight="1">
      <c r="B81" s="23">
        <v>42842</v>
      </c>
      <c r="C81" s="26">
        <f t="shared" si="25"/>
        <v>36909.790099999998</v>
      </c>
      <c r="D81" s="26">
        <v>0</v>
      </c>
      <c r="E81" s="26">
        <v>0</v>
      </c>
      <c r="F81" s="26">
        <v>0</v>
      </c>
      <c r="G81" s="26">
        <v>3703</v>
      </c>
      <c r="H81" s="26">
        <f>G81*(-0.42+J2)</f>
        <v>-1296.05</v>
      </c>
      <c r="I81" s="26">
        <f t="shared" si="26"/>
        <v>35613.740099999995</v>
      </c>
      <c r="J81" s="24">
        <f t="shared" si="27"/>
        <v>-3.5113989987171454E-2</v>
      </c>
      <c r="K81" s="24"/>
      <c r="N81" s="88" t="s">
        <v>82</v>
      </c>
      <c r="O81" s="86">
        <f t="shared" si="23"/>
        <v>142132.03459999996</v>
      </c>
      <c r="P81" s="88" t="s">
        <v>82</v>
      </c>
      <c r="R81" s="83">
        <f>S81</f>
        <v>-3060.6400000000003</v>
      </c>
      <c r="S81" s="83">
        <f t="shared" si="24"/>
        <v>-3060.6400000000003</v>
      </c>
    </row>
    <row r="82" spans="2:19" ht="15.75" customHeight="1">
      <c r="B82" s="23">
        <v>42872</v>
      </c>
      <c r="C82" s="26">
        <f t="shared" si="25"/>
        <v>35613.740099999995</v>
      </c>
      <c r="D82" s="26">
        <v>0</v>
      </c>
      <c r="E82" s="26">
        <v>0</v>
      </c>
      <c r="F82" s="26">
        <v>0</v>
      </c>
      <c r="G82" s="26">
        <v>470.62</v>
      </c>
      <c r="H82" s="26">
        <f>G82*(0.92+J2)</f>
        <v>465.91379999999998</v>
      </c>
      <c r="I82" s="26">
        <f t="shared" si="26"/>
        <v>36079.653899999998</v>
      </c>
      <c r="J82" s="24">
        <f t="shared" si="27"/>
        <v>1.3082417030386539E-2</v>
      </c>
      <c r="K82" s="24"/>
      <c r="N82" s="88" t="s">
        <v>83</v>
      </c>
      <c r="O82" s="86">
        <f t="shared" si="23"/>
        <v>143243.98879999996</v>
      </c>
      <c r="P82" s="88" t="s">
        <v>83</v>
      </c>
      <c r="Q82" s="89">
        <f t="shared" ref="Q82:Q90" si="28">S82</f>
        <v>1111.9542000000001</v>
      </c>
      <c r="S82" s="83">
        <f t="shared" si="24"/>
        <v>1111.9542000000001</v>
      </c>
    </row>
    <row r="83" spans="2:19" ht="15.75" customHeight="1">
      <c r="B83" s="23">
        <v>42903</v>
      </c>
      <c r="C83" s="26">
        <f t="shared" si="25"/>
        <v>36079.653899999998</v>
      </c>
      <c r="D83" s="26">
        <v>0</v>
      </c>
      <c r="E83" s="26">
        <v>0</v>
      </c>
      <c r="F83" s="26">
        <v>0</v>
      </c>
      <c r="G83" s="26">
        <v>2354.94</v>
      </c>
      <c r="H83" s="26">
        <f>G83*(0.82+J2)</f>
        <v>2095.8966</v>
      </c>
      <c r="I83" s="26">
        <f t="shared" si="26"/>
        <v>38175.550499999998</v>
      </c>
      <c r="J83" s="24">
        <f t="shared" si="27"/>
        <v>5.8090817772506409E-2</v>
      </c>
      <c r="K83" s="24"/>
      <c r="N83" s="88" t="s">
        <v>84</v>
      </c>
      <c r="O83" s="86">
        <f t="shared" si="23"/>
        <v>144370.52959999995</v>
      </c>
      <c r="P83" s="88" t="s">
        <v>84</v>
      </c>
      <c r="Q83" s="89">
        <f t="shared" si="28"/>
        <v>1126.5407999999998</v>
      </c>
      <c r="S83" s="83">
        <f t="shared" si="24"/>
        <v>1126.5407999999998</v>
      </c>
    </row>
    <row r="84" spans="2:19" ht="15.75" customHeight="1">
      <c r="B84" s="23">
        <v>42933</v>
      </c>
      <c r="C84" s="26">
        <f t="shared" si="25"/>
        <v>38175.550499999998</v>
      </c>
      <c r="D84" s="26">
        <v>0</v>
      </c>
      <c r="E84" s="26">
        <v>0</v>
      </c>
      <c r="F84" s="26">
        <v>0</v>
      </c>
      <c r="G84" s="26">
        <v>7122.75</v>
      </c>
      <c r="H84" s="26">
        <f>G84*(0.62+J2)</f>
        <v>4914.6974999999993</v>
      </c>
      <c r="I84" s="26">
        <f t="shared" si="26"/>
        <v>43090.248</v>
      </c>
      <c r="J84" s="24">
        <f t="shared" si="27"/>
        <v>0.12873940088958244</v>
      </c>
      <c r="K84" s="24"/>
      <c r="N84" s="88" t="s">
        <v>86</v>
      </c>
      <c r="O84" s="86">
        <f t="shared" si="23"/>
        <v>147317.64959999995</v>
      </c>
      <c r="P84" s="88" t="s">
        <v>86</v>
      </c>
      <c r="Q84" s="89">
        <f t="shared" si="28"/>
        <v>2947.12</v>
      </c>
      <c r="S84" s="83">
        <f t="shared" si="24"/>
        <v>2947.12</v>
      </c>
    </row>
    <row r="85" spans="2:19" ht="15.75" customHeight="1">
      <c r="B85" s="23">
        <v>42964</v>
      </c>
      <c r="C85" s="26">
        <f t="shared" si="25"/>
        <v>43090.248</v>
      </c>
      <c r="D85" s="26">
        <v>0</v>
      </c>
      <c r="E85" s="26">
        <v>0</v>
      </c>
      <c r="F85" s="26">
        <v>0</v>
      </c>
      <c r="G85" s="26">
        <v>5268.75</v>
      </c>
      <c r="H85" s="26">
        <f>G85*(0.62+J2)</f>
        <v>3635.4374999999995</v>
      </c>
      <c r="I85" s="26">
        <f t="shared" si="26"/>
        <v>46725.6855</v>
      </c>
      <c r="J85" s="24">
        <f t="shared" si="27"/>
        <v>8.4367987392414162E-2</v>
      </c>
      <c r="K85" s="24"/>
      <c r="N85" s="88" t="s">
        <v>87</v>
      </c>
      <c r="O85" s="86">
        <f t="shared" si="23"/>
        <v>150254.08959999995</v>
      </c>
      <c r="P85" s="88" t="s">
        <v>87</v>
      </c>
      <c r="Q85" s="89">
        <f t="shared" si="28"/>
        <v>2936.44</v>
      </c>
      <c r="S85" s="83">
        <f t="shared" si="24"/>
        <v>2936.44</v>
      </c>
    </row>
    <row r="86" spans="2:19" ht="15.75" customHeight="1">
      <c r="B86" s="23">
        <v>42995</v>
      </c>
      <c r="C86" s="26">
        <f t="shared" si="25"/>
        <v>46725.6855</v>
      </c>
      <c r="D86" s="26">
        <v>0</v>
      </c>
      <c r="E86" s="26">
        <v>0</v>
      </c>
      <c r="F86" s="26">
        <v>0</v>
      </c>
      <c r="G86" s="26">
        <v>9063.75</v>
      </c>
      <c r="H86" s="26">
        <f>G86*(0.42+J2)</f>
        <v>4441.2375000000002</v>
      </c>
      <c r="I86" s="26">
        <f t="shared" si="26"/>
        <v>51166.923000000003</v>
      </c>
      <c r="J86" s="24">
        <f t="shared" si="27"/>
        <v>9.5049167336453522E-2</v>
      </c>
      <c r="K86" s="24"/>
      <c r="N86" s="88" t="s">
        <v>88</v>
      </c>
      <c r="O86" s="86">
        <f t="shared" si="23"/>
        <v>159469.53959999996</v>
      </c>
      <c r="P86" s="88" t="s">
        <v>88</v>
      </c>
      <c r="Q86" s="89">
        <f t="shared" si="28"/>
        <v>9215.4500000000007</v>
      </c>
      <c r="S86" s="83">
        <f t="shared" si="24"/>
        <v>9215.4500000000007</v>
      </c>
    </row>
    <row r="87" spans="2:19" ht="15.75" customHeight="1">
      <c r="B87" s="23">
        <v>43025</v>
      </c>
      <c r="C87" s="26">
        <f t="shared" si="25"/>
        <v>51166.923000000003</v>
      </c>
      <c r="D87" s="26">
        <v>0</v>
      </c>
      <c r="E87" s="26">
        <v>0</v>
      </c>
      <c r="F87" s="26">
        <v>0</v>
      </c>
      <c r="G87" s="26">
        <v>2261.25</v>
      </c>
      <c r="H87" s="26">
        <f>G87*(-0.52+J2)</f>
        <v>-1017.5625</v>
      </c>
      <c r="I87" s="26">
        <f t="shared" si="26"/>
        <v>50149.360500000003</v>
      </c>
      <c r="J87" s="46">
        <f t="shared" si="27"/>
        <v>-1.9887115353799951E-2</v>
      </c>
      <c r="K87" s="24"/>
      <c r="N87" s="88" t="s">
        <v>92</v>
      </c>
      <c r="O87" s="86">
        <f t="shared" si="23"/>
        <v>160675.78959999996</v>
      </c>
      <c r="P87" s="88" t="s">
        <v>92</v>
      </c>
      <c r="Q87" s="89">
        <f t="shared" si="28"/>
        <v>1206.25</v>
      </c>
      <c r="S87" s="83">
        <f>H108</f>
        <v>1206.25</v>
      </c>
    </row>
    <row r="88" spans="2:19" ht="15.75" customHeight="1">
      <c r="B88" s="23">
        <v>43056</v>
      </c>
      <c r="C88" s="26">
        <f t="shared" si="25"/>
        <v>50149.360500000003</v>
      </c>
      <c r="D88" s="26">
        <v>0</v>
      </c>
      <c r="E88" s="26">
        <v>0</v>
      </c>
      <c r="F88" s="26">
        <v>0</v>
      </c>
      <c r="G88" s="26">
        <v>2681.5</v>
      </c>
      <c r="H88" s="26">
        <f>G88*(-0.45+J2)</f>
        <v>-1018.97</v>
      </c>
      <c r="I88" s="26">
        <f t="shared" si="26"/>
        <v>49130.390500000001</v>
      </c>
      <c r="J88" s="46">
        <f t="shared" si="27"/>
        <v>-2.0318703764926373E-2</v>
      </c>
      <c r="K88" s="24"/>
      <c r="N88" s="88">
        <v>43515</v>
      </c>
      <c r="O88" s="86">
        <f t="shared" si="23"/>
        <v>163457.17959999997</v>
      </c>
      <c r="P88" s="88">
        <v>43515</v>
      </c>
      <c r="Q88" s="89">
        <f t="shared" si="28"/>
        <v>2781.39</v>
      </c>
      <c r="S88" s="83">
        <f t="shared" ref="S88:S94" si="29">H109</f>
        <v>2781.39</v>
      </c>
    </row>
    <row r="89" spans="2:19" ht="15.75" customHeight="1">
      <c r="B89" s="23">
        <v>43086</v>
      </c>
      <c r="C89" s="26">
        <f t="shared" si="25"/>
        <v>49130.390500000001</v>
      </c>
      <c r="D89" s="26">
        <v>0</v>
      </c>
      <c r="E89" s="26">
        <v>0</v>
      </c>
      <c r="F89" s="26">
        <v>0</v>
      </c>
      <c r="G89" s="26">
        <v>-5387.5</v>
      </c>
      <c r="H89" s="26">
        <f>G89*(0.77+J2)</f>
        <v>-4525.5</v>
      </c>
      <c r="I89" s="26">
        <f t="shared" si="26"/>
        <v>44604.890500000001</v>
      </c>
      <c r="J89" s="46">
        <f t="shared" si="27"/>
        <v>-9.2112029925754402E-2</v>
      </c>
      <c r="K89" s="24"/>
      <c r="N89" s="88">
        <v>43543</v>
      </c>
      <c r="O89" s="86">
        <f t="shared" si="23"/>
        <v>165369.98959999997</v>
      </c>
      <c r="P89" s="88">
        <v>43543</v>
      </c>
      <c r="Q89" s="89">
        <f t="shared" si="28"/>
        <v>1912.81</v>
      </c>
      <c r="S89" s="83">
        <f t="shared" si="29"/>
        <v>1912.81</v>
      </c>
    </row>
    <row r="90" spans="2:19" ht="15.75" customHeight="1">
      <c r="B90" s="21"/>
      <c r="C90" s="21"/>
      <c r="D90" s="21"/>
      <c r="E90" s="21"/>
      <c r="F90" s="21"/>
      <c r="G90" s="22" t="s">
        <v>11</v>
      </c>
      <c r="H90" s="22" t="s">
        <v>11</v>
      </c>
      <c r="I90" s="21"/>
      <c r="J90" s="22" t="s">
        <v>11</v>
      </c>
      <c r="K90" s="22"/>
      <c r="N90" s="88">
        <v>43574</v>
      </c>
      <c r="O90" s="86">
        <f t="shared" si="23"/>
        <v>166806.71959999998</v>
      </c>
      <c r="P90" s="88">
        <v>43574</v>
      </c>
      <c r="Q90" s="89">
        <f t="shared" si="28"/>
        <v>1436.73</v>
      </c>
      <c r="S90" s="83">
        <f t="shared" si="29"/>
        <v>1436.73</v>
      </c>
    </row>
    <row r="91" spans="2:19" ht="15.75" customHeight="1">
      <c r="B91" s="21"/>
      <c r="C91" s="21"/>
      <c r="D91" s="21"/>
      <c r="E91" s="21"/>
      <c r="F91" s="48"/>
      <c r="G91" s="31">
        <f>SUM(G78:G90)</f>
        <v>48677.5</v>
      </c>
      <c r="H91" s="31">
        <f>SUM(H78:H90)</f>
        <v>19604.890499999998</v>
      </c>
      <c r="I91" s="30"/>
      <c r="J91" s="25">
        <f>H91/25000</f>
        <v>0.78419561999999987</v>
      </c>
      <c r="K91" s="25"/>
      <c r="L91" s="3">
        <f>H91</f>
        <v>19604.890499999998</v>
      </c>
      <c r="M91" s="6">
        <v>12</v>
      </c>
      <c r="N91" s="88">
        <v>43604</v>
      </c>
      <c r="O91" s="86">
        <f t="shared" si="23"/>
        <v>165700.42959999997</v>
      </c>
      <c r="P91" s="88">
        <v>43604</v>
      </c>
      <c r="R91" s="83">
        <f>S91</f>
        <v>-1106.29</v>
      </c>
      <c r="S91" s="83">
        <f t="shared" si="29"/>
        <v>-1106.29</v>
      </c>
    </row>
    <row r="92" spans="2:19" ht="15.75" customHeight="1">
      <c r="B92" s="21"/>
      <c r="C92" s="21"/>
      <c r="D92" s="21"/>
      <c r="E92" s="21"/>
      <c r="F92" s="21"/>
      <c r="G92" s="31"/>
      <c r="H92" s="31"/>
      <c r="I92" s="30"/>
      <c r="J92" s="25"/>
      <c r="K92" s="25"/>
      <c r="L92" s="3"/>
      <c r="N92" s="88">
        <v>43635</v>
      </c>
      <c r="O92" s="86">
        <f t="shared" si="23"/>
        <v>176440.93959999998</v>
      </c>
      <c r="P92" s="88">
        <v>43635</v>
      </c>
      <c r="Q92" s="89">
        <f>S92</f>
        <v>10740.51</v>
      </c>
      <c r="S92" s="83">
        <f t="shared" si="29"/>
        <v>10740.51</v>
      </c>
    </row>
    <row r="93" spans="2:19" ht="15.75" customHeight="1">
      <c r="B93" s="43" t="s">
        <v>38</v>
      </c>
      <c r="C93" s="26">
        <f>C78</f>
        <v>25000</v>
      </c>
      <c r="D93" s="26">
        <v>0</v>
      </c>
      <c r="E93" s="26">
        <f>-G91</f>
        <v>-48677.5</v>
      </c>
      <c r="F93" s="26">
        <f>-H91</f>
        <v>-19604.890499999998</v>
      </c>
      <c r="G93" s="26">
        <v>21022.59</v>
      </c>
      <c r="H93" s="26">
        <f>G93*(0.62+J2)</f>
        <v>14505.587099999999</v>
      </c>
      <c r="I93" s="26">
        <f>25000+H93</f>
        <v>39505.587099999997</v>
      </c>
      <c r="J93" s="24">
        <f>H93/25000</f>
        <v>0.5802234839999999</v>
      </c>
      <c r="K93" s="24"/>
      <c r="L93" s="3"/>
      <c r="N93" s="88">
        <v>43665</v>
      </c>
      <c r="O93" s="86">
        <f t="shared" si="23"/>
        <v>176555.21959999998</v>
      </c>
      <c r="P93" s="88">
        <v>43665</v>
      </c>
      <c r="Q93" s="89">
        <f>S93</f>
        <v>114.28</v>
      </c>
      <c r="S93" s="83">
        <f t="shared" si="29"/>
        <v>114.28</v>
      </c>
    </row>
    <row r="94" spans="2:19" ht="15.75" customHeight="1">
      <c r="B94" s="43" t="s">
        <v>62</v>
      </c>
      <c r="C94" s="26">
        <f t="shared" ref="C94:C99" si="30">I93</f>
        <v>39505.587099999997</v>
      </c>
      <c r="D94" s="26">
        <v>0</v>
      </c>
      <c r="E94" s="26">
        <v>0</v>
      </c>
      <c r="F94" s="26">
        <v>0</v>
      </c>
      <c r="G94" s="26">
        <v>-3101.73</v>
      </c>
      <c r="H94" s="26">
        <f>G94*(1.6+J2)</f>
        <v>-5179.8891000000003</v>
      </c>
      <c r="I94" s="26">
        <f t="shared" ref="I94:I99" si="31">I93+H94</f>
        <v>34325.697999999997</v>
      </c>
      <c r="J94" s="46">
        <f t="shared" ref="J94:J99" si="32">H94/I93</f>
        <v>-0.13111788686719708</v>
      </c>
      <c r="K94" s="24"/>
      <c r="L94" s="3"/>
      <c r="N94" s="88">
        <v>43696</v>
      </c>
      <c r="O94" s="86">
        <f t="shared" si="23"/>
        <v>174567.75959999999</v>
      </c>
      <c r="P94" s="88">
        <v>43696</v>
      </c>
      <c r="Q94" s="89"/>
      <c r="R94" s="83">
        <f>S94</f>
        <v>-1987.46</v>
      </c>
      <c r="S94" s="83">
        <f t="shared" si="29"/>
        <v>-1987.46</v>
      </c>
    </row>
    <row r="95" spans="2:19" ht="15.75" customHeight="1">
      <c r="B95" s="43" t="s">
        <v>77</v>
      </c>
      <c r="C95" s="26">
        <f t="shared" si="30"/>
        <v>34325.697999999997</v>
      </c>
      <c r="D95" s="26">
        <v>0</v>
      </c>
      <c r="E95" s="26">
        <v>0</v>
      </c>
      <c r="F95" s="26">
        <v>0</v>
      </c>
      <c r="G95" s="26">
        <v>6002.6</v>
      </c>
      <c r="H95" s="26">
        <f>G95*(-0.62+J2)</f>
        <v>-3301.4300000000003</v>
      </c>
      <c r="I95" s="26">
        <f t="shared" si="31"/>
        <v>31024.267999999996</v>
      </c>
      <c r="J95" s="46">
        <f t="shared" si="32"/>
        <v>-9.6179544549975376E-2</v>
      </c>
      <c r="K95" s="24"/>
      <c r="L95" s="3"/>
      <c r="N95" s="88">
        <v>43727</v>
      </c>
      <c r="O95" s="86">
        <f t="shared" ref="O95:O104" si="33">O94+S95</f>
        <v>173988.4976</v>
      </c>
      <c r="P95" s="88">
        <v>43727</v>
      </c>
      <c r="Q95" s="89"/>
      <c r="R95" s="83">
        <f>S95</f>
        <v>-579.26199999999994</v>
      </c>
      <c r="S95" s="83">
        <f>H116</f>
        <v>-579.26199999999994</v>
      </c>
    </row>
    <row r="96" spans="2:19" ht="15.75" customHeight="1">
      <c r="B96" s="43" t="s">
        <v>78</v>
      </c>
      <c r="C96" s="26">
        <f t="shared" si="30"/>
        <v>31024.267999999996</v>
      </c>
      <c r="D96" s="26">
        <v>0</v>
      </c>
      <c r="E96" s="26">
        <v>0</v>
      </c>
      <c r="F96" s="26">
        <v>0</v>
      </c>
      <c r="G96" s="26">
        <v>27919.19</v>
      </c>
      <c r="H96" s="26">
        <f>G96*(0.32+J2)</f>
        <v>10888.4841</v>
      </c>
      <c r="I96" s="26">
        <f t="shared" si="31"/>
        <v>41912.752099999998</v>
      </c>
      <c r="J96" s="24">
        <f t="shared" si="32"/>
        <v>0.35096667228377476</v>
      </c>
      <c r="K96" s="24"/>
      <c r="L96" s="3"/>
      <c r="N96" s="88">
        <v>43757</v>
      </c>
      <c r="O96" s="86">
        <f t="shared" si="33"/>
        <v>171444.15760000001</v>
      </c>
      <c r="P96" s="88">
        <v>43757</v>
      </c>
      <c r="Q96" s="89"/>
      <c r="R96" s="83">
        <f>S96</f>
        <v>-2544.34</v>
      </c>
      <c r="S96" s="83">
        <f>H117</f>
        <v>-2544.34</v>
      </c>
    </row>
    <row r="97" spans="2:19" ht="15.75" customHeight="1">
      <c r="B97" s="43" t="s">
        <v>79</v>
      </c>
      <c r="C97" s="26">
        <f t="shared" si="30"/>
        <v>41912.752099999998</v>
      </c>
      <c r="D97" s="26">
        <v>0</v>
      </c>
      <c r="E97" s="26">
        <v>0</v>
      </c>
      <c r="F97" s="26">
        <v>0</v>
      </c>
      <c r="G97" s="26">
        <v>10008</v>
      </c>
      <c r="H97" s="26">
        <f>G97*(0.52+J2)</f>
        <v>5904.7200000000012</v>
      </c>
      <c r="I97" s="26">
        <f t="shared" si="31"/>
        <v>47817.472099999999</v>
      </c>
      <c r="J97" s="24">
        <f t="shared" si="32"/>
        <v>0.14088122836486325</v>
      </c>
      <c r="K97" s="24"/>
      <c r="L97" s="3"/>
      <c r="N97" s="88">
        <v>43788</v>
      </c>
      <c r="O97" s="86">
        <f t="shared" si="33"/>
        <v>172399.94760000001</v>
      </c>
      <c r="P97" s="88">
        <v>43788</v>
      </c>
      <c r="Q97" s="89">
        <f>S97</f>
        <v>955.79</v>
      </c>
      <c r="R97" s="83"/>
      <c r="S97" s="83">
        <f>H118</f>
        <v>955.79</v>
      </c>
    </row>
    <row r="98" spans="2:19" ht="15.75" customHeight="1">
      <c r="B98" s="43" t="s">
        <v>80</v>
      </c>
      <c r="C98" s="26">
        <f t="shared" si="30"/>
        <v>47817.472099999999</v>
      </c>
      <c r="D98" s="26">
        <v>0</v>
      </c>
      <c r="E98" s="26">
        <v>0</v>
      </c>
      <c r="F98" s="26">
        <v>0</v>
      </c>
      <c r="G98" s="26">
        <v>6768.74</v>
      </c>
      <c r="H98" s="26">
        <f>G98*(0.35+J2)</f>
        <v>2842.8707999999997</v>
      </c>
      <c r="I98" s="26">
        <f t="shared" si="31"/>
        <v>50660.342899999996</v>
      </c>
      <c r="J98" s="24">
        <f t="shared" si="32"/>
        <v>5.9452553118131059E-2</v>
      </c>
      <c r="K98" s="24"/>
      <c r="L98" s="3"/>
      <c r="N98" s="88">
        <v>43818</v>
      </c>
      <c r="O98" s="86">
        <f t="shared" si="33"/>
        <v>174772.08760000003</v>
      </c>
      <c r="P98" s="88">
        <v>43818</v>
      </c>
      <c r="Q98" s="89">
        <f>S98</f>
        <v>2372.14</v>
      </c>
      <c r="R98" s="83"/>
      <c r="S98" s="83">
        <f>H119</f>
        <v>2372.14</v>
      </c>
    </row>
    <row r="99" spans="2:19" ht="15.75" customHeight="1">
      <c r="B99" s="43" t="s">
        <v>82</v>
      </c>
      <c r="C99" s="26">
        <f t="shared" si="30"/>
        <v>50660.342899999996</v>
      </c>
      <c r="D99" s="26">
        <v>0</v>
      </c>
      <c r="E99" s="26">
        <v>0</v>
      </c>
      <c r="F99" s="26">
        <v>0</v>
      </c>
      <c r="G99" s="26">
        <v>827.2</v>
      </c>
      <c r="H99" s="26">
        <f>G99*(-3.77+J2)</f>
        <v>-3060.6400000000003</v>
      </c>
      <c r="I99" s="26">
        <f t="shared" si="31"/>
        <v>47599.702899999997</v>
      </c>
      <c r="J99" s="46">
        <f t="shared" si="32"/>
        <v>-6.0414908877373601E-2</v>
      </c>
      <c r="K99" s="24"/>
      <c r="L99" s="3"/>
      <c r="N99" s="88">
        <v>43850</v>
      </c>
      <c r="O99" s="86">
        <f t="shared" si="33"/>
        <v>177525.29760000002</v>
      </c>
      <c r="P99" s="88">
        <v>43850</v>
      </c>
      <c r="Q99" s="89">
        <f>S99</f>
        <v>2753.21</v>
      </c>
      <c r="R99" s="83"/>
      <c r="S99" s="86">
        <f t="shared" ref="S99:S104" si="34">H123</f>
        <v>2753.21</v>
      </c>
    </row>
    <row r="100" spans="2:19" ht="15.75" customHeight="1">
      <c r="B100" s="43" t="s">
        <v>83</v>
      </c>
      <c r="C100" s="26">
        <f t="shared" ref="C100" si="35">I99</f>
        <v>47599.702899999997</v>
      </c>
      <c r="D100" s="26">
        <v>0</v>
      </c>
      <c r="E100" s="26">
        <v>0</v>
      </c>
      <c r="F100" s="26">
        <v>0</v>
      </c>
      <c r="G100" s="26">
        <v>2647.51</v>
      </c>
      <c r="H100" s="26">
        <f>G100*(0.35+J2)</f>
        <v>1111.9542000000001</v>
      </c>
      <c r="I100" s="26">
        <f t="shared" ref="I100:I103" si="36">I99+H100</f>
        <v>48711.657099999997</v>
      </c>
      <c r="J100" s="24">
        <f t="shared" ref="J100" si="37">H100/I99</f>
        <v>2.336052815993522E-2</v>
      </c>
      <c r="K100" s="24"/>
      <c r="L100" s="3"/>
      <c r="N100" s="88">
        <v>43881</v>
      </c>
      <c r="O100" s="86">
        <f t="shared" si="33"/>
        <v>177820.40760000001</v>
      </c>
      <c r="P100" s="88">
        <f t="shared" ref="P100:P104" si="38">N100</f>
        <v>43881</v>
      </c>
      <c r="Q100" s="89">
        <f>S100</f>
        <v>295.11</v>
      </c>
      <c r="R100" s="83"/>
      <c r="S100" s="86">
        <f t="shared" si="34"/>
        <v>295.11</v>
      </c>
    </row>
    <row r="101" spans="2:19" ht="15.75" customHeight="1">
      <c r="B101" s="43" t="s">
        <v>84</v>
      </c>
      <c r="C101" s="26">
        <f>I100</f>
        <v>48711.657099999997</v>
      </c>
      <c r="D101" s="26">
        <v>0</v>
      </c>
      <c r="E101" s="26"/>
      <c r="F101" s="26">
        <v>0</v>
      </c>
      <c r="G101" s="26">
        <v>1760.22</v>
      </c>
      <c r="H101" s="26">
        <f>G101*(0.57+J2)</f>
        <v>1126.5407999999998</v>
      </c>
      <c r="I101" s="26">
        <f t="shared" si="36"/>
        <v>49838.197899999999</v>
      </c>
      <c r="J101" s="24">
        <f>H101/C101</f>
        <v>2.3126718881423557E-2</v>
      </c>
      <c r="K101" s="24"/>
      <c r="L101" s="3"/>
      <c r="N101" s="88" t="str">
        <f t="shared" ref="N101:N110" si="39">B125</f>
        <v>20-Mar</v>
      </c>
      <c r="O101" s="86">
        <f t="shared" si="33"/>
        <v>185719.6776</v>
      </c>
      <c r="P101" s="88" t="str">
        <f t="shared" si="38"/>
        <v>20-Mar</v>
      </c>
      <c r="Q101" s="89">
        <f>S101</f>
        <v>7899.27</v>
      </c>
      <c r="R101" s="83"/>
      <c r="S101" s="86">
        <f t="shared" si="34"/>
        <v>7899.27</v>
      </c>
    </row>
    <row r="102" spans="2:19" ht="15.75" customHeight="1">
      <c r="B102" s="43" t="s">
        <v>86</v>
      </c>
      <c r="C102" s="26">
        <f>I101</f>
        <v>49838.197899999999</v>
      </c>
      <c r="D102" s="26">
        <f>D101</f>
        <v>0</v>
      </c>
      <c r="E102" s="26"/>
      <c r="F102" s="26">
        <f>F101</f>
        <v>0</v>
      </c>
      <c r="G102" s="26"/>
      <c r="H102" s="26">
        <v>2947.12</v>
      </c>
      <c r="I102" s="26">
        <f t="shared" si="36"/>
        <v>52785.317900000002</v>
      </c>
      <c r="J102" s="24">
        <f>H102/C102</f>
        <v>5.9133759328805907E-2</v>
      </c>
      <c r="K102" s="24"/>
      <c r="L102" s="3"/>
      <c r="N102" s="88" t="str">
        <f t="shared" si="39"/>
        <v>20-Apr</v>
      </c>
      <c r="O102" s="86">
        <f t="shared" si="33"/>
        <v>182556.29759999999</v>
      </c>
      <c r="P102" s="88" t="str">
        <f t="shared" si="38"/>
        <v>20-Apr</v>
      </c>
      <c r="Q102" s="89"/>
      <c r="R102" s="83">
        <f>S102</f>
        <v>-3163.38</v>
      </c>
      <c r="S102" s="86">
        <f t="shared" si="34"/>
        <v>-3163.38</v>
      </c>
    </row>
    <row r="103" spans="2:19" ht="15.75" customHeight="1">
      <c r="B103" s="43" t="s">
        <v>87</v>
      </c>
      <c r="C103" s="26">
        <f>I102</f>
        <v>52785.317900000002</v>
      </c>
      <c r="D103" s="26">
        <f>D102</f>
        <v>0</v>
      </c>
      <c r="E103" s="26"/>
      <c r="F103" s="26">
        <f>F102</f>
        <v>0</v>
      </c>
      <c r="G103" s="26"/>
      <c r="H103" s="26">
        <v>2936.44</v>
      </c>
      <c r="I103" s="26">
        <f t="shared" si="36"/>
        <v>55721.757900000004</v>
      </c>
      <c r="J103" s="24">
        <f>H103/C103</f>
        <v>5.5629862939595938E-2</v>
      </c>
      <c r="K103" s="24"/>
      <c r="L103" s="3"/>
      <c r="N103" s="88" t="str">
        <f t="shared" si="39"/>
        <v>20-May</v>
      </c>
      <c r="O103" s="86">
        <f t="shared" si="33"/>
        <v>182159.01759999999</v>
      </c>
      <c r="P103" s="88" t="str">
        <f t="shared" si="38"/>
        <v>20-May</v>
      </c>
      <c r="Q103" s="89"/>
      <c r="R103" s="83">
        <f>S103</f>
        <v>-397.28</v>
      </c>
      <c r="S103" s="86">
        <f t="shared" si="34"/>
        <v>-397.28</v>
      </c>
    </row>
    <row r="104" spans="2:19" ht="15.75" customHeight="1">
      <c r="B104" s="43" t="s">
        <v>88</v>
      </c>
      <c r="C104" s="26">
        <f>I103</f>
        <v>55721.757900000004</v>
      </c>
      <c r="D104" s="26">
        <f>D103</f>
        <v>0</v>
      </c>
      <c r="E104" s="26"/>
      <c r="F104" s="26">
        <f>F103</f>
        <v>0</v>
      </c>
      <c r="G104" s="26"/>
      <c r="H104" s="26">
        <v>9215.4500000000007</v>
      </c>
      <c r="I104" s="26">
        <f t="shared" ref="I104" si="40">I103+H104</f>
        <v>64937.207900000009</v>
      </c>
      <c r="J104" s="24">
        <f>H104/C104</f>
        <v>0.16538333224408197</v>
      </c>
      <c r="K104" s="24"/>
      <c r="L104" s="3"/>
      <c r="N104" s="88" t="str">
        <f t="shared" si="39"/>
        <v>20-Jun</v>
      </c>
      <c r="O104" s="86">
        <f t="shared" si="33"/>
        <v>187253.5551</v>
      </c>
      <c r="P104" s="88" t="str">
        <f t="shared" si="38"/>
        <v>20-Jun</v>
      </c>
      <c r="Q104" s="89">
        <f>S104</f>
        <v>5094.5375000000004</v>
      </c>
      <c r="R104" s="83"/>
      <c r="S104" s="86">
        <f t="shared" si="34"/>
        <v>5094.5375000000004</v>
      </c>
    </row>
    <row r="105" spans="2:19" ht="15.75" customHeight="1">
      <c r="B105" s="21"/>
      <c r="C105" s="21"/>
      <c r="D105" s="21"/>
      <c r="E105" s="21"/>
      <c r="F105" s="21"/>
      <c r="G105" s="22" t="s">
        <v>11</v>
      </c>
      <c r="H105" s="22" t="s">
        <v>11</v>
      </c>
      <c r="I105" s="21"/>
      <c r="J105" s="22" t="s">
        <v>11</v>
      </c>
      <c r="K105" s="22"/>
      <c r="L105" s="3"/>
      <c r="N105" s="88" t="str">
        <f t="shared" si="39"/>
        <v>20-Jul</v>
      </c>
      <c r="O105" s="86">
        <f t="shared" ref="O105:O112" si="41">O104+S105</f>
        <v>199630.98259999999</v>
      </c>
      <c r="P105" s="88" t="str">
        <f t="shared" ref="P105:P112" si="42">N105</f>
        <v>20-Jul</v>
      </c>
      <c r="Q105" s="89">
        <f>S105</f>
        <v>12377.4275</v>
      </c>
      <c r="R105" s="83"/>
      <c r="S105" s="86">
        <f t="shared" ref="S105:S110" si="43">H129</f>
        <v>12377.4275</v>
      </c>
    </row>
    <row r="106" spans="2:19" ht="15.75" customHeight="1">
      <c r="B106" s="21"/>
      <c r="C106" s="21"/>
      <c r="D106" s="21"/>
      <c r="E106" s="21"/>
      <c r="F106" s="48"/>
      <c r="G106" s="31">
        <f>SUM(G93:G105)</f>
        <v>73854.319999999992</v>
      </c>
      <c r="H106" s="31">
        <f>SUM(H93:H105)</f>
        <v>39937.207899999994</v>
      </c>
      <c r="I106" s="30"/>
      <c r="J106" s="25">
        <f>H106/25000</f>
        <v>1.5974883159999997</v>
      </c>
      <c r="K106" s="161">
        <f>J106</f>
        <v>1.5974883159999997</v>
      </c>
      <c r="L106" s="3">
        <f>H106</f>
        <v>39937.207899999994</v>
      </c>
      <c r="M106" s="6">
        <v>12</v>
      </c>
      <c r="N106" s="88" t="str">
        <f t="shared" si="39"/>
        <v>20-Aug</v>
      </c>
      <c r="O106" s="86">
        <f t="shared" si="41"/>
        <v>204998.01259999999</v>
      </c>
      <c r="P106" s="88" t="str">
        <f t="shared" si="42"/>
        <v>20-Aug</v>
      </c>
      <c r="Q106" s="89">
        <f>S106</f>
        <v>5367.03</v>
      </c>
      <c r="R106" s="83"/>
      <c r="S106" s="86">
        <f t="shared" si="43"/>
        <v>5367.03</v>
      </c>
    </row>
    <row r="107" spans="2:19" ht="15.75" customHeight="1">
      <c r="B107" s="2"/>
      <c r="C107" s="2"/>
      <c r="D107" s="2"/>
      <c r="E107" s="2"/>
      <c r="F107" s="2"/>
      <c r="G107" s="44"/>
      <c r="H107" s="44"/>
      <c r="I107" s="5"/>
      <c r="J107" s="45"/>
      <c r="K107" s="45"/>
      <c r="L107" s="3"/>
      <c r="N107" s="88" t="str">
        <f t="shared" si="39"/>
        <v>20-Sep</v>
      </c>
      <c r="O107" s="86">
        <f t="shared" si="41"/>
        <v>201242.4626</v>
      </c>
      <c r="P107" s="88" t="str">
        <f t="shared" si="42"/>
        <v>20-Sep</v>
      </c>
      <c r="Q107" s="89"/>
      <c r="R107" s="83">
        <f>S107</f>
        <v>-3755.55</v>
      </c>
      <c r="S107" s="86">
        <f t="shared" si="43"/>
        <v>-3755.55</v>
      </c>
    </row>
    <row r="108" spans="2:19" ht="15.75" customHeight="1">
      <c r="B108" s="43" t="s">
        <v>92</v>
      </c>
      <c r="C108" s="26">
        <f>C93</f>
        <v>25000</v>
      </c>
      <c r="D108" s="26">
        <v>0</v>
      </c>
      <c r="E108" s="26">
        <f>-G106</f>
        <v>-73854.319999999992</v>
      </c>
      <c r="F108" s="26">
        <f>-H106</f>
        <v>-39937.207899999994</v>
      </c>
      <c r="G108" s="26">
        <v>21022.59</v>
      </c>
      <c r="H108" s="26">
        <v>1206.25</v>
      </c>
      <c r="I108" s="26">
        <f>25000+H108</f>
        <v>26206.25</v>
      </c>
      <c r="J108" s="24">
        <f>H108/25000</f>
        <v>4.8250000000000001E-2</v>
      </c>
      <c r="K108" s="45"/>
      <c r="L108" s="3"/>
      <c r="N108" s="88" t="str">
        <f t="shared" si="39"/>
        <v>20-Oct</v>
      </c>
      <c r="O108" s="86">
        <f t="shared" si="41"/>
        <v>200349.25260000001</v>
      </c>
      <c r="P108" s="88" t="str">
        <f t="shared" si="42"/>
        <v>20-Oct</v>
      </c>
      <c r="Q108" s="89"/>
      <c r="R108" s="83">
        <f>S108</f>
        <v>-893.21</v>
      </c>
      <c r="S108" s="86">
        <f t="shared" si="43"/>
        <v>-893.21</v>
      </c>
    </row>
    <row r="109" spans="2:19" ht="15.75" customHeight="1">
      <c r="B109" s="23">
        <v>43515</v>
      </c>
      <c r="C109" s="26">
        <f>I108</f>
        <v>26206.25</v>
      </c>
      <c r="D109" s="26">
        <f>D108</f>
        <v>0</v>
      </c>
      <c r="E109" s="21"/>
      <c r="F109" s="26">
        <f>D109</f>
        <v>0</v>
      </c>
      <c r="G109" s="26"/>
      <c r="H109" s="26">
        <v>2781.39</v>
      </c>
      <c r="I109" s="48">
        <f t="shared" ref="I109:I119" si="44">H109+C109</f>
        <v>28987.64</v>
      </c>
      <c r="J109" s="24">
        <f t="shared" ref="J109:J119" si="45">H109/C109</f>
        <v>0.10613460529453851</v>
      </c>
      <c r="K109" s="45"/>
      <c r="N109" s="88" t="str">
        <f t="shared" si="39"/>
        <v>20-Nov</v>
      </c>
      <c r="O109" s="86">
        <f t="shared" si="41"/>
        <v>198305.78260000001</v>
      </c>
      <c r="P109" s="88" t="str">
        <f t="shared" si="42"/>
        <v>20-Nov</v>
      </c>
      <c r="Q109" s="89"/>
      <c r="R109" s="83">
        <f>S109</f>
        <v>-2043.47</v>
      </c>
      <c r="S109" s="86">
        <f t="shared" si="43"/>
        <v>-2043.47</v>
      </c>
    </row>
    <row r="110" spans="2:19" ht="15.75" customHeight="1">
      <c r="B110" s="23">
        <v>43543</v>
      </c>
      <c r="C110" s="26">
        <f t="shared" ref="C110:C119" si="46">I109</f>
        <v>28987.64</v>
      </c>
      <c r="D110" s="26">
        <f t="shared" ref="D110:F119" si="47">D109</f>
        <v>0</v>
      </c>
      <c r="E110" s="21"/>
      <c r="F110" s="26">
        <f t="shared" ref="F110:F118" si="48">F109</f>
        <v>0</v>
      </c>
      <c r="G110" s="26"/>
      <c r="H110" s="26">
        <v>1912.81</v>
      </c>
      <c r="I110" s="48">
        <f t="shared" si="44"/>
        <v>30900.45</v>
      </c>
      <c r="J110" s="24">
        <f t="shared" si="45"/>
        <v>6.5987089669942087E-2</v>
      </c>
      <c r="K110" s="45"/>
      <c r="N110" s="88" t="str">
        <f t="shared" si="39"/>
        <v>20-Dec</v>
      </c>
      <c r="O110" s="86">
        <f t="shared" si="41"/>
        <v>206533.39260000002</v>
      </c>
      <c r="P110" s="88" t="str">
        <f t="shared" si="42"/>
        <v>20-Dec</v>
      </c>
      <c r="Q110" s="89">
        <f>S110</f>
        <v>8227.61</v>
      </c>
      <c r="R110" s="83"/>
      <c r="S110" s="86">
        <f t="shared" si="43"/>
        <v>8227.61</v>
      </c>
    </row>
    <row r="111" spans="2:19" ht="15.75" customHeight="1">
      <c r="B111" s="23">
        <v>43574</v>
      </c>
      <c r="C111" s="26">
        <f t="shared" si="46"/>
        <v>30900.45</v>
      </c>
      <c r="D111" s="26">
        <f t="shared" si="47"/>
        <v>0</v>
      </c>
      <c r="E111" s="21"/>
      <c r="F111" s="26">
        <f t="shared" si="48"/>
        <v>0</v>
      </c>
      <c r="G111" s="26"/>
      <c r="H111" s="26">
        <v>1436.73</v>
      </c>
      <c r="I111" s="48">
        <f t="shared" si="44"/>
        <v>32337.18</v>
      </c>
      <c r="J111" s="24">
        <f t="shared" si="45"/>
        <v>4.6495439386805046E-2</v>
      </c>
      <c r="K111" s="45"/>
      <c r="N111" s="88">
        <f t="shared" ref="N111:N117" si="49">B138</f>
        <v>44217</v>
      </c>
      <c r="O111" s="86">
        <f t="shared" si="41"/>
        <v>204496.65260000003</v>
      </c>
      <c r="P111" s="88">
        <f t="shared" si="42"/>
        <v>44217</v>
      </c>
      <c r="Q111" s="89"/>
      <c r="R111" s="83">
        <f>S111</f>
        <v>-2036.74</v>
      </c>
      <c r="S111" s="86">
        <f t="shared" ref="S111:S117" si="50">H138</f>
        <v>-2036.74</v>
      </c>
    </row>
    <row r="112" spans="2:19" ht="15.75" customHeight="1">
      <c r="B112" s="23">
        <v>43604</v>
      </c>
      <c r="C112" s="26">
        <f t="shared" si="46"/>
        <v>32337.18</v>
      </c>
      <c r="D112" s="26">
        <f t="shared" si="47"/>
        <v>0</v>
      </c>
      <c r="E112" s="21"/>
      <c r="F112" s="26">
        <f t="shared" si="48"/>
        <v>0</v>
      </c>
      <c r="G112" s="26"/>
      <c r="H112" s="26">
        <v>-1106.29</v>
      </c>
      <c r="I112" s="48">
        <f t="shared" si="44"/>
        <v>31230.89</v>
      </c>
      <c r="J112" s="24">
        <f t="shared" si="45"/>
        <v>-3.4211084578185232E-2</v>
      </c>
      <c r="K112" s="45"/>
      <c r="N112" s="88">
        <f t="shared" si="49"/>
        <v>44248</v>
      </c>
      <c r="O112" s="86">
        <f t="shared" si="41"/>
        <v>209665.65260000003</v>
      </c>
      <c r="P112" s="88">
        <f t="shared" si="42"/>
        <v>44248</v>
      </c>
      <c r="Q112" s="89">
        <f>S112</f>
        <v>5169</v>
      </c>
      <c r="R112" s="83"/>
      <c r="S112" s="86">
        <f t="shared" si="50"/>
        <v>5169</v>
      </c>
    </row>
    <row r="113" spans="2:19" ht="15.75" customHeight="1">
      <c r="B113" s="23">
        <v>43635</v>
      </c>
      <c r="C113" s="26">
        <f t="shared" si="46"/>
        <v>31230.89</v>
      </c>
      <c r="D113" s="26">
        <f t="shared" si="47"/>
        <v>0</v>
      </c>
      <c r="E113" s="21"/>
      <c r="F113" s="26">
        <f t="shared" si="48"/>
        <v>0</v>
      </c>
      <c r="G113" s="26"/>
      <c r="H113" s="26">
        <v>10740.51</v>
      </c>
      <c r="I113" s="48">
        <f t="shared" si="44"/>
        <v>41971.4</v>
      </c>
      <c r="J113" s="24">
        <f t="shared" si="45"/>
        <v>0.34390662577979686</v>
      </c>
      <c r="K113" s="45"/>
      <c r="N113" s="88">
        <f t="shared" si="49"/>
        <v>44276</v>
      </c>
      <c r="O113" s="86">
        <f t="shared" ref="O113:O117" si="51">O112+S113</f>
        <v>223573.00260000004</v>
      </c>
      <c r="P113" s="88">
        <f t="shared" ref="P113:P117" si="52">N113</f>
        <v>44276</v>
      </c>
      <c r="Q113" s="89">
        <f>S113</f>
        <v>13907.35</v>
      </c>
      <c r="R113" s="83"/>
      <c r="S113" s="86">
        <f t="shared" si="50"/>
        <v>13907.35</v>
      </c>
    </row>
    <row r="114" spans="2:19" ht="15.75" customHeight="1">
      <c r="B114" s="23">
        <v>43665</v>
      </c>
      <c r="C114" s="26">
        <f t="shared" si="46"/>
        <v>41971.4</v>
      </c>
      <c r="D114" s="26">
        <f t="shared" si="47"/>
        <v>0</v>
      </c>
      <c r="E114" s="21"/>
      <c r="F114" s="26">
        <f t="shared" si="48"/>
        <v>0</v>
      </c>
      <c r="G114" s="26"/>
      <c r="H114" s="26">
        <v>114.28</v>
      </c>
      <c r="I114" s="48">
        <f t="shared" si="44"/>
        <v>42085.68</v>
      </c>
      <c r="J114" s="24">
        <f t="shared" si="45"/>
        <v>2.7228064825095184E-3</v>
      </c>
      <c r="K114" s="45"/>
      <c r="N114" s="88">
        <f t="shared" si="49"/>
        <v>44307</v>
      </c>
      <c r="O114" s="86">
        <f t="shared" si="51"/>
        <v>222850.86260000002</v>
      </c>
      <c r="P114" s="88">
        <f t="shared" si="52"/>
        <v>44307</v>
      </c>
      <c r="Q114" s="89"/>
      <c r="R114" s="83">
        <f>S114</f>
        <v>-722.14</v>
      </c>
      <c r="S114" s="86">
        <f t="shared" si="50"/>
        <v>-722.14</v>
      </c>
    </row>
    <row r="115" spans="2:19" ht="15.75" customHeight="1">
      <c r="B115" s="23">
        <v>43696</v>
      </c>
      <c r="C115" s="26">
        <f t="shared" si="46"/>
        <v>42085.68</v>
      </c>
      <c r="D115" s="26">
        <f t="shared" si="47"/>
        <v>0</v>
      </c>
      <c r="E115" s="21"/>
      <c r="F115" s="26">
        <f t="shared" si="48"/>
        <v>0</v>
      </c>
      <c r="G115" s="26"/>
      <c r="H115" s="26">
        <v>-1987.46</v>
      </c>
      <c r="I115" s="48">
        <f t="shared" si="44"/>
        <v>40098.22</v>
      </c>
      <c r="J115" s="24">
        <f t="shared" si="45"/>
        <v>-4.7224138947024263E-2</v>
      </c>
      <c r="K115" s="45"/>
      <c r="N115" s="88">
        <f t="shared" si="49"/>
        <v>44337</v>
      </c>
      <c r="O115" s="86">
        <f t="shared" si="51"/>
        <v>229853.06260000003</v>
      </c>
      <c r="P115" s="88">
        <f t="shared" si="52"/>
        <v>44337</v>
      </c>
      <c r="Q115" s="89">
        <f>S115</f>
        <v>7002.2</v>
      </c>
      <c r="R115" s="83"/>
      <c r="S115" s="86">
        <f t="shared" si="50"/>
        <v>7002.2</v>
      </c>
    </row>
    <row r="116" spans="2:19" ht="15.75" customHeight="1">
      <c r="B116" s="23">
        <v>43727</v>
      </c>
      <c r="C116" s="26">
        <f t="shared" si="46"/>
        <v>40098.22</v>
      </c>
      <c r="D116" s="26">
        <f t="shared" si="47"/>
        <v>0</v>
      </c>
      <c r="E116" s="21"/>
      <c r="F116" s="26">
        <f t="shared" si="48"/>
        <v>0</v>
      </c>
      <c r="G116" s="26"/>
      <c r="H116" s="26">
        <v>-579.26199999999994</v>
      </c>
      <c r="I116" s="48">
        <f t="shared" si="44"/>
        <v>39518.957999999999</v>
      </c>
      <c r="J116" s="24">
        <f t="shared" si="45"/>
        <v>-1.4446077656314917E-2</v>
      </c>
      <c r="K116" s="45"/>
      <c r="L116" s="3"/>
      <c r="N116" s="88">
        <f t="shared" si="49"/>
        <v>44368</v>
      </c>
      <c r="O116" s="86">
        <f t="shared" si="51"/>
        <v>237906.81260000003</v>
      </c>
      <c r="P116" s="88">
        <f t="shared" si="52"/>
        <v>44368</v>
      </c>
      <c r="Q116" s="89">
        <f>S116</f>
        <v>8053.75</v>
      </c>
      <c r="R116" s="83"/>
      <c r="S116" s="86">
        <f t="shared" si="50"/>
        <v>8053.75</v>
      </c>
    </row>
    <row r="117" spans="2:19" ht="15.75" customHeight="1">
      <c r="B117" s="23">
        <v>43757</v>
      </c>
      <c r="C117" s="26">
        <f t="shared" si="46"/>
        <v>39518.957999999999</v>
      </c>
      <c r="D117" s="26">
        <f t="shared" si="47"/>
        <v>0</v>
      </c>
      <c r="E117" s="21"/>
      <c r="F117" s="26">
        <f t="shared" si="48"/>
        <v>0</v>
      </c>
      <c r="G117" s="26"/>
      <c r="H117" s="26">
        <v>-2544.34</v>
      </c>
      <c r="I117" s="48">
        <f t="shared" si="44"/>
        <v>36974.618000000002</v>
      </c>
      <c r="J117" s="24">
        <f t="shared" si="45"/>
        <v>-6.4382770416163304E-2</v>
      </c>
      <c r="K117" s="45"/>
      <c r="L117" s="3"/>
      <c r="N117" s="88">
        <f t="shared" si="49"/>
        <v>44398</v>
      </c>
      <c r="O117" s="86">
        <f t="shared" si="51"/>
        <v>238190.56260000003</v>
      </c>
      <c r="P117" s="88">
        <f t="shared" si="52"/>
        <v>44398</v>
      </c>
      <c r="Q117" s="89">
        <f>S117</f>
        <v>283.75</v>
      </c>
      <c r="S117" s="86">
        <f t="shared" si="50"/>
        <v>283.75</v>
      </c>
    </row>
    <row r="118" spans="2:19" ht="15.75" customHeight="1">
      <c r="B118" s="23">
        <v>43788</v>
      </c>
      <c r="C118" s="26">
        <f t="shared" si="46"/>
        <v>36974.618000000002</v>
      </c>
      <c r="D118" s="26">
        <f t="shared" si="47"/>
        <v>0</v>
      </c>
      <c r="E118" s="21"/>
      <c r="F118" s="26">
        <f t="shared" si="48"/>
        <v>0</v>
      </c>
      <c r="G118" s="26"/>
      <c r="H118" s="26">
        <v>955.79</v>
      </c>
      <c r="I118" s="48">
        <f t="shared" si="44"/>
        <v>37930.408000000003</v>
      </c>
      <c r="J118" s="24">
        <f t="shared" si="45"/>
        <v>2.5849895190262678E-2</v>
      </c>
      <c r="K118" s="45"/>
      <c r="L118" s="3"/>
      <c r="N118" s="88">
        <f t="shared" ref="N118:N119" si="53">B145</f>
        <v>44429</v>
      </c>
      <c r="O118" s="86">
        <f t="shared" ref="O118:O119" si="54">O117+S118</f>
        <v>231629.33760000003</v>
      </c>
      <c r="P118" s="88">
        <f t="shared" ref="P118:P119" si="55">N118</f>
        <v>44429</v>
      </c>
      <c r="R118" s="89">
        <f>S118</f>
        <v>-6561.2250000000004</v>
      </c>
      <c r="S118" s="86">
        <f t="shared" ref="S118:S119" si="56">H145</f>
        <v>-6561.2250000000004</v>
      </c>
    </row>
    <row r="119" spans="2:19" ht="15.75" customHeight="1">
      <c r="B119" s="23">
        <v>43818</v>
      </c>
      <c r="C119" s="26">
        <f t="shared" si="46"/>
        <v>37930.408000000003</v>
      </c>
      <c r="D119" s="26">
        <f t="shared" si="47"/>
        <v>0</v>
      </c>
      <c r="E119" s="21"/>
      <c r="F119" s="26">
        <f t="shared" si="47"/>
        <v>0</v>
      </c>
      <c r="G119" s="26"/>
      <c r="H119" s="26">
        <v>2372.14</v>
      </c>
      <c r="I119" s="48">
        <f t="shared" si="44"/>
        <v>40302.548000000003</v>
      </c>
      <c r="J119" s="24">
        <f t="shared" si="45"/>
        <v>6.253926928494942E-2</v>
      </c>
      <c r="K119" s="45"/>
      <c r="L119" s="3"/>
      <c r="N119" s="88">
        <f t="shared" si="53"/>
        <v>44460</v>
      </c>
      <c r="O119" s="86">
        <f t="shared" si="54"/>
        <v>232131.08760000003</v>
      </c>
      <c r="P119" s="88">
        <f t="shared" si="55"/>
        <v>44460</v>
      </c>
      <c r="Q119" s="89">
        <f>S119</f>
        <v>501.75</v>
      </c>
      <c r="S119" s="86">
        <f t="shared" si="56"/>
        <v>501.75</v>
      </c>
    </row>
    <row r="120" spans="2:19" ht="15.75" customHeight="1">
      <c r="B120" s="21"/>
      <c r="C120" s="21"/>
      <c r="D120" s="21"/>
      <c r="E120" s="21"/>
      <c r="F120" s="21"/>
      <c r="G120" s="49" t="s">
        <v>11</v>
      </c>
      <c r="H120" s="49" t="s">
        <v>11</v>
      </c>
      <c r="I120" s="21"/>
      <c r="J120" s="49" t="s">
        <v>11</v>
      </c>
      <c r="K120" s="45"/>
      <c r="L120" s="3"/>
      <c r="N120" s="88">
        <f t="shared" ref="N120" si="57">B147</f>
        <v>44490</v>
      </c>
      <c r="O120" s="86">
        <f t="shared" ref="O120:O123" si="58">O119+S120</f>
        <v>233134.18760000003</v>
      </c>
      <c r="P120" s="88">
        <f t="shared" ref="P120:P122" si="59">N120</f>
        <v>44490</v>
      </c>
      <c r="Q120" s="89">
        <f>S120</f>
        <v>1003.1</v>
      </c>
      <c r="S120" s="86">
        <f t="shared" ref="S120:S122" si="60">H147</f>
        <v>1003.1</v>
      </c>
    </row>
    <row r="121" spans="2:19" ht="15.75" customHeight="1">
      <c r="B121" s="21"/>
      <c r="C121" s="21"/>
      <c r="D121" s="21"/>
      <c r="E121" s="21"/>
      <c r="F121" s="48"/>
      <c r="G121" s="31">
        <f>SUM(G98:G120)</f>
        <v>106880.57999999999</v>
      </c>
      <c r="H121" s="31">
        <f>SUM(H108:H120)</f>
        <v>15302.547999999999</v>
      </c>
      <c r="I121" s="30"/>
      <c r="J121" s="25">
        <f>H121/25000</f>
        <v>0.61210191999999997</v>
      </c>
      <c r="K121" s="161">
        <f>J121</f>
        <v>0.61210191999999997</v>
      </c>
      <c r="L121" s="3">
        <f>H121</f>
        <v>15302.547999999999</v>
      </c>
      <c r="M121" s="6">
        <v>12</v>
      </c>
      <c r="N121" s="88">
        <v>44521</v>
      </c>
      <c r="O121" s="86">
        <f t="shared" si="58"/>
        <v>236758.38760000005</v>
      </c>
      <c r="P121" s="88">
        <f t="shared" si="59"/>
        <v>44521</v>
      </c>
      <c r="Q121" s="89">
        <f>S121</f>
        <v>3624.2</v>
      </c>
      <c r="S121" s="86">
        <f t="shared" si="60"/>
        <v>3624.2</v>
      </c>
    </row>
    <row r="122" spans="2:19" ht="15.75" customHeight="1">
      <c r="B122" s="2"/>
      <c r="C122" s="2"/>
      <c r="D122" s="2"/>
      <c r="E122" s="2"/>
      <c r="F122" s="2"/>
      <c r="G122" s="44"/>
      <c r="H122" s="44"/>
      <c r="I122" s="5"/>
      <c r="J122" s="45"/>
      <c r="K122" s="45"/>
      <c r="L122" s="3"/>
      <c r="N122" s="88">
        <v>44551</v>
      </c>
      <c r="O122" s="86">
        <f t="shared" si="58"/>
        <v>234968.25760000004</v>
      </c>
      <c r="P122" s="88">
        <f t="shared" si="59"/>
        <v>44551</v>
      </c>
      <c r="R122" s="89">
        <f>S122</f>
        <v>-1790.13</v>
      </c>
      <c r="S122" s="86">
        <f t="shared" si="60"/>
        <v>-1790.13</v>
      </c>
    </row>
    <row r="123" spans="2:19" ht="15.75" customHeight="1">
      <c r="B123" s="43" t="s">
        <v>117</v>
      </c>
      <c r="C123" s="26">
        <f>C108</f>
        <v>25000</v>
      </c>
      <c r="D123" s="26">
        <v>0</v>
      </c>
      <c r="E123" s="26">
        <f>-G121</f>
        <v>-106880.57999999999</v>
      </c>
      <c r="F123" s="26">
        <f>-H121</f>
        <v>-15302.547999999999</v>
      </c>
      <c r="G123" s="26">
        <v>21022.59</v>
      </c>
      <c r="H123" s="26">
        <v>2753.21</v>
      </c>
      <c r="I123" s="26">
        <f>25000+H123</f>
        <v>27753.21</v>
      </c>
      <c r="J123" s="24">
        <f>H123/25000</f>
        <v>0.1101284</v>
      </c>
      <c r="K123" s="45"/>
      <c r="L123" s="3"/>
      <c r="N123" s="84">
        <f t="shared" ref="N123:N128" si="61">B153</f>
        <v>44582</v>
      </c>
      <c r="O123" s="86">
        <f t="shared" si="58"/>
        <v>233983.25760000004</v>
      </c>
      <c r="P123" s="84">
        <f t="shared" ref="P123:P128" si="62">N123</f>
        <v>44582</v>
      </c>
      <c r="R123" s="83">
        <f>S123</f>
        <v>-985</v>
      </c>
      <c r="S123" s="83">
        <f t="shared" ref="S123:S128" si="63">H153</f>
        <v>-985</v>
      </c>
    </row>
    <row r="124" spans="2:19" ht="15.75" customHeight="1">
      <c r="B124" s="43" t="s">
        <v>118</v>
      </c>
      <c r="C124" s="26">
        <f t="shared" ref="C124:C128" si="64">I123</f>
        <v>27753.21</v>
      </c>
      <c r="D124" s="26">
        <v>0</v>
      </c>
      <c r="E124" s="26"/>
      <c r="F124" s="26">
        <v>0</v>
      </c>
      <c r="G124" s="26"/>
      <c r="H124" s="26">
        <v>295.11</v>
      </c>
      <c r="I124" s="26">
        <f t="shared" ref="I124:I128" si="65">H124+I123</f>
        <v>28048.32</v>
      </c>
      <c r="J124" s="24">
        <f t="shared" ref="J124:J128" si="66">H124/I123</f>
        <v>1.0633364572962913E-2</v>
      </c>
      <c r="K124" s="45"/>
      <c r="L124" s="3"/>
      <c r="N124" s="84">
        <f t="shared" si="61"/>
        <v>44614</v>
      </c>
      <c r="O124" s="86">
        <f t="shared" ref="O124" si="67">O123+S124</f>
        <v>229292.75760000004</v>
      </c>
      <c r="P124" s="84">
        <f t="shared" si="62"/>
        <v>44614</v>
      </c>
      <c r="R124" s="83">
        <f>S124</f>
        <v>-4690.5</v>
      </c>
      <c r="S124" s="83">
        <f t="shared" si="63"/>
        <v>-4690.5</v>
      </c>
    </row>
    <row r="125" spans="2:19" ht="15.75" customHeight="1">
      <c r="B125" s="43" t="s">
        <v>120</v>
      </c>
      <c r="C125" s="26">
        <f t="shared" si="64"/>
        <v>28048.32</v>
      </c>
      <c r="D125" s="26">
        <v>0</v>
      </c>
      <c r="E125" s="26"/>
      <c r="F125" s="26">
        <v>0</v>
      </c>
      <c r="G125" s="26"/>
      <c r="H125" s="26">
        <v>7899.27</v>
      </c>
      <c r="I125" s="26">
        <f t="shared" si="65"/>
        <v>35947.589999999997</v>
      </c>
      <c r="J125" s="24">
        <f t="shared" si="66"/>
        <v>0.2816307714686655</v>
      </c>
      <c r="K125" s="45"/>
      <c r="L125" s="3"/>
      <c r="N125" s="84">
        <f t="shared" si="61"/>
        <v>44642</v>
      </c>
      <c r="O125" s="86">
        <f t="shared" ref="O125:O126" si="68">O124+S125</f>
        <v>239272.72760000004</v>
      </c>
      <c r="P125" s="84">
        <f t="shared" si="62"/>
        <v>44642</v>
      </c>
      <c r="Q125" s="83">
        <f>S125</f>
        <v>9979.9699999999993</v>
      </c>
      <c r="S125" s="83">
        <f t="shared" si="63"/>
        <v>9979.9699999999993</v>
      </c>
    </row>
    <row r="126" spans="2:19" ht="15.75" customHeight="1">
      <c r="B126" s="43" t="s">
        <v>124</v>
      </c>
      <c r="C126" s="26">
        <f t="shared" si="64"/>
        <v>35947.589999999997</v>
      </c>
      <c r="D126" s="26">
        <v>0</v>
      </c>
      <c r="E126" s="26"/>
      <c r="F126" s="26">
        <v>0</v>
      </c>
      <c r="G126" s="26"/>
      <c r="H126" s="26">
        <v>-3163.38</v>
      </c>
      <c r="I126" s="26">
        <f t="shared" si="65"/>
        <v>32784.21</v>
      </c>
      <c r="J126" s="24">
        <f t="shared" si="66"/>
        <v>-8.7999779679249726E-2</v>
      </c>
      <c r="K126" s="45"/>
      <c r="L126" s="3"/>
      <c r="N126" s="84">
        <f t="shared" si="61"/>
        <v>44673</v>
      </c>
      <c r="O126" s="86">
        <f t="shared" si="68"/>
        <v>255915.22760000004</v>
      </c>
      <c r="P126" s="84">
        <f t="shared" si="62"/>
        <v>44673</v>
      </c>
      <c r="Q126" s="83">
        <f>S126</f>
        <v>16642.5</v>
      </c>
      <c r="S126" s="83">
        <f t="shared" si="63"/>
        <v>16642.5</v>
      </c>
    </row>
    <row r="127" spans="2:19" ht="15.75" customHeight="1">
      <c r="B127" s="43" t="s">
        <v>125</v>
      </c>
      <c r="C127" s="26">
        <f t="shared" si="64"/>
        <v>32784.21</v>
      </c>
      <c r="D127" s="26">
        <v>0</v>
      </c>
      <c r="E127" s="26"/>
      <c r="F127" s="26">
        <v>0</v>
      </c>
      <c r="G127" s="26"/>
      <c r="H127" s="26">
        <v>-397.28</v>
      </c>
      <c r="I127" s="26">
        <f t="shared" si="65"/>
        <v>32386.93</v>
      </c>
      <c r="J127" s="24">
        <f t="shared" si="66"/>
        <v>-1.2118028770557534E-2</v>
      </c>
      <c r="K127" s="45"/>
      <c r="L127" s="3"/>
      <c r="N127" s="84">
        <f t="shared" si="61"/>
        <v>44703</v>
      </c>
      <c r="O127" s="86">
        <f t="shared" ref="O127" si="69">O126+S127</f>
        <v>254028.84760000004</v>
      </c>
      <c r="P127" s="84">
        <f t="shared" si="62"/>
        <v>44703</v>
      </c>
      <c r="Q127" s="83"/>
      <c r="R127" s="83">
        <f>S127</f>
        <v>-1886.38</v>
      </c>
      <c r="S127" s="83">
        <f t="shared" si="63"/>
        <v>-1886.38</v>
      </c>
    </row>
    <row r="128" spans="2:19" ht="15.75" customHeight="1">
      <c r="B128" s="43" t="s">
        <v>126</v>
      </c>
      <c r="C128" s="26">
        <f t="shared" si="64"/>
        <v>32386.93</v>
      </c>
      <c r="D128" s="26">
        <v>0</v>
      </c>
      <c r="E128" s="26"/>
      <c r="F128" s="26">
        <v>0</v>
      </c>
      <c r="G128" s="26"/>
      <c r="H128" s="26">
        <f>7837.75*0.65</f>
        <v>5094.5375000000004</v>
      </c>
      <c r="I128" s="26">
        <f t="shared" si="65"/>
        <v>37481.467499999999</v>
      </c>
      <c r="J128" s="24">
        <f t="shared" si="66"/>
        <v>0.15730226668597488</v>
      </c>
      <c r="L128" s="3"/>
      <c r="N128" s="84">
        <f t="shared" si="61"/>
        <v>44734</v>
      </c>
      <c r="O128" s="86">
        <f t="shared" ref="O128" si="70">O127+S128</f>
        <v>266359.34760000004</v>
      </c>
      <c r="P128" s="84">
        <f t="shared" si="62"/>
        <v>44734</v>
      </c>
      <c r="Q128" s="83">
        <f>S128</f>
        <v>12330.5</v>
      </c>
      <c r="R128" s="83"/>
      <c r="S128" s="83">
        <f t="shared" si="63"/>
        <v>12330.5</v>
      </c>
    </row>
    <row r="129" spans="2:19" ht="15.75" customHeight="1">
      <c r="B129" s="43" t="s">
        <v>127</v>
      </c>
      <c r="C129" s="26">
        <f t="shared" ref="C129:C134" si="71">I128</f>
        <v>37481.467499999999</v>
      </c>
      <c r="D129" s="26">
        <v>0</v>
      </c>
      <c r="E129" s="26"/>
      <c r="F129" s="26">
        <v>0</v>
      </c>
      <c r="G129" s="26"/>
      <c r="H129" s="26">
        <f>49509.71*0.25</f>
        <v>12377.4275</v>
      </c>
      <c r="I129" s="26">
        <f t="shared" ref="I129:I134" si="72">H129+I128</f>
        <v>49858.894999999997</v>
      </c>
      <c r="J129" s="24">
        <f t="shared" ref="J129:J134" si="73">H129/I128</f>
        <v>0.33022793197731654</v>
      </c>
      <c r="L129" s="3"/>
      <c r="N129" s="84">
        <f t="shared" ref="N129" si="74">B159</f>
        <v>44764</v>
      </c>
      <c r="O129" s="86">
        <f t="shared" ref="O129" si="75">O128+S129</f>
        <v>267229.84760000004</v>
      </c>
      <c r="P129" s="84">
        <f t="shared" ref="P129" si="76">N129</f>
        <v>44764</v>
      </c>
      <c r="Q129" s="83">
        <f>S129</f>
        <v>870.5</v>
      </c>
      <c r="R129" s="83"/>
      <c r="S129" s="83">
        <f t="shared" ref="S129" si="77">H159</f>
        <v>870.5</v>
      </c>
    </row>
    <row r="130" spans="2:19" ht="15.75" customHeight="1">
      <c r="B130" s="43" t="s">
        <v>128</v>
      </c>
      <c r="C130" s="26">
        <f t="shared" si="71"/>
        <v>49858.894999999997</v>
      </c>
      <c r="D130" s="26">
        <v>0</v>
      </c>
      <c r="E130" s="26"/>
      <c r="F130" s="26">
        <v>0</v>
      </c>
      <c r="G130" s="26"/>
      <c r="H130" s="26">
        <v>5367.03</v>
      </c>
      <c r="I130" s="26">
        <f t="shared" si="72"/>
        <v>55225.924999999996</v>
      </c>
      <c r="J130" s="24">
        <f t="shared" si="73"/>
        <v>0.10764438321386786</v>
      </c>
      <c r="L130" s="3"/>
      <c r="N130" s="84">
        <f t="shared" ref="N130" si="78">B160</f>
        <v>44795</v>
      </c>
      <c r="O130" s="86">
        <f t="shared" ref="O130" si="79">O129+S130</f>
        <v>268030.78760000004</v>
      </c>
      <c r="P130" s="84">
        <f t="shared" ref="P130" si="80">N130</f>
        <v>44795</v>
      </c>
      <c r="Q130" s="83">
        <f>S130</f>
        <v>800.94</v>
      </c>
      <c r="R130" s="83"/>
      <c r="S130" s="83">
        <f t="shared" ref="S130" si="81">H160</f>
        <v>800.94</v>
      </c>
    </row>
    <row r="131" spans="2:19" ht="15.75" customHeight="1">
      <c r="B131" s="43" t="s">
        <v>129</v>
      </c>
      <c r="C131" s="26">
        <f t="shared" si="71"/>
        <v>55225.924999999996</v>
      </c>
      <c r="D131" s="26">
        <v>0</v>
      </c>
      <c r="E131" s="26"/>
      <c r="F131" s="26">
        <v>0</v>
      </c>
      <c r="G131" s="26"/>
      <c r="H131" s="26">
        <v>-3755.55</v>
      </c>
      <c r="I131" s="26">
        <f t="shared" si="72"/>
        <v>51470.374999999993</v>
      </c>
      <c r="J131" s="24">
        <f t="shared" si="73"/>
        <v>-6.8003387901605997E-2</v>
      </c>
      <c r="L131" s="3"/>
      <c r="N131" s="84">
        <f t="shared" ref="N131" si="82">B161</f>
        <v>44826</v>
      </c>
      <c r="O131" s="86">
        <f t="shared" ref="O131" si="83">O130+S131</f>
        <v>275256.48760000005</v>
      </c>
      <c r="P131" s="84">
        <f t="shared" ref="P131" si="84">N131</f>
        <v>44826</v>
      </c>
      <c r="Q131" s="83">
        <f>(H161&gt;1)*H161</f>
        <v>7225.7</v>
      </c>
      <c r="R131" s="83"/>
      <c r="S131" s="83">
        <f t="shared" ref="S131" si="85">H161</f>
        <v>7225.7</v>
      </c>
    </row>
    <row r="132" spans="2:19" ht="15.75" customHeight="1">
      <c r="B132" s="43" t="s">
        <v>130</v>
      </c>
      <c r="C132" s="26">
        <f t="shared" si="71"/>
        <v>51470.374999999993</v>
      </c>
      <c r="D132" s="26">
        <v>0</v>
      </c>
      <c r="E132" s="26"/>
      <c r="F132" s="26">
        <v>0</v>
      </c>
      <c r="G132" s="26"/>
      <c r="H132" s="26">
        <v>-893.21</v>
      </c>
      <c r="I132" s="26">
        <f t="shared" si="72"/>
        <v>50577.164999999994</v>
      </c>
      <c r="J132" s="24">
        <f t="shared" si="73"/>
        <v>-1.7353866180302751E-2</v>
      </c>
      <c r="L132" s="3"/>
      <c r="N132" s="84">
        <f t="shared" ref="N132" si="86">B162</f>
        <v>44856</v>
      </c>
      <c r="O132" s="86">
        <f t="shared" ref="O132" si="87">O131+S132</f>
        <v>273706.48760000005</v>
      </c>
      <c r="P132" s="84">
        <f t="shared" ref="P132" si="88">N132</f>
        <v>44856</v>
      </c>
      <c r="Q132" s="83"/>
      <c r="R132" s="83">
        <f>S132</f>
        <v>-1550</v>
      </c>
      <c r="S132" s="83">
        <f>H162</f>
        <v>-1550</v>
      </c>
    </row>
    <row r="133" spans="2:19" ht="15.75" customHeight="1">
      <c r="B133" s="43" t="s">
        <v>132</v>
      </c>
      <c r="C133" s="26">
        <f t="shared" si="71"/>
        <v>50577.164999999994</v>
      </c>
      <c r="D133" s="26">
        <v>0</v>
      </c>
      <c r="E133" s="26"/>
      <c r="F133" s="26">
        <v>0</v>
      </c>
      <c r="G133" s="26"/>
      <c r="H133" s="26">
        <v>-2043.47</v>
      </c>
      <c r="I133" s="26">
        <f t="shared" si="72"/>
        <v>48533.694999999992</v>
      </c>
      <c r="J133" s="24">
        <f t="shared" si="73"/>
        <v>-4.0403015866943122E-2</v>
      </c>
      <c r="L133" s="3"/>
      <c r="N133" s="84">
        <f t="shared" ref="N133" si="89">B163</f>
        <v>44887</v>
      </c>
      <c r="O133" s="86">
        <f t="shared" ref="O133" si="90">O132+S133</f>
        <v>295843.38760000007</v>
      </c>
      <c r="P133" s="84">
        <f t="shared" ref="P133" si="91">N133</f>
        <v>44887</v>
      </c>
      <c r="Q133" s="83">
        <f>S133</f>
        <v>22136.9</v>
      </c>
      <c r="R133" s="83"/>
      <c r="S133" s="83">
        <f>H163</f>
        <v>22136.9</v>
      </c>
    </row>
    <row r="134" spans="2:19" ht="15.75" customHeight="1">
      <c r="B134" s="43" t="s">
        <v>139</v>
      </c>
      <c r="C134" s="26">
        <f t="shared" si="71"/>
        <v>48533.694999999992</v>
      </c>
      <c r="D134" s="26">
        <v>0</v>
      </c>
      <c r="E134" s="26"/>
      <c r="F134" s="26">
        <v>0</v>
      </c>
      <c r="G134" s="26"/>
      <c r="H134" s="26">
        <v>8227.61</v>
      </c>
      <c r="I134" s="26">
        <f t="shared" si="72"/>
        <v>56761.304999999993</v>
      </c>
      <c r="J134" s="24">
        <f t="shared" si="73"/>
        <v>0.16952366804134739</v>
      </c>
      <c r="L134" s="3"/>
      <c r="N134" s="84">
        <f t="shared" ref="N134" si="92">B164</f>
        <v>44917</v>
      </c>
      <c r="O134" s="86">
        <f t="shared" ref="O134" si="93">O133+S134</f>
        <v>306477.71760000009</v>
      </c>
      <c r="P134" s="84">
        <f t="shared" ref="P134" si="94">N134</f>
        <v>44917</v>
      </c>
      <c r="Q134" s="83">
        <f>S134</f>
        <v>10634.33</v>
      </c>
      <c r="R134" s="83"/>
      <c r="S134" s="83">
        <f>H164</f>
        <v>10634.33</v>
      </c>
    </row>
    <row r="135" spans="2:19" ht="15.75" customHeight="1">
      <c r="B135" s="21"/>
      <c r="C135" s="21"/>
      <c r="D135" s="21"/>
      <c r="E135" s="21"/>
      <c r="F135" s="21"/>
      <c r="G135" s="49" t="s">
        <v>11</v>
      </c>
      <c r="H135" s="49" t="s">
        <v>11</v>
      </c>
      <c r="I135" s="21"/>
      <c r="J135" s="49" t="s">
        <v>11</v>
      </c>
      <c r="L135" s="3">
        <f>H136</f>
        <v>31761.305</v>
      </c>
      <c r="M135" s="6">
        <v>12</v>
      </c>
      <c r="N135" s="84">
        <f>B168</f>
        <v>44949</v>
      </c>
      <c r="O135" s="86">
        <f t="shared" ref="O135" si="95">O134+S135</f>
        <v>314111.79760000011</v>
      </c>
      <c r="P135" s="84">
        <f t="shared" ref="P135" si="96">N135</f>
        <v>44949</v>
      </c>
      <c r="Q135" s="83">
        <f>S135</f>
        <v>7634.08</v>
      </c>
      <c r="R135" s="83"/>
      <c r="S135" s="83">
        <f>H168</f>
        <v>7634.08</v>
      </c>
    </row>
    <row r="136" spans="2:19" ht="15.75" customHeight="1">
      <c r="B136" s="21"/>
      <c r="C136" s="21"/>
      <c r="D136" s="21"/>
      <c r="E136" s="21"/>
      <c r="F136" s="48"/>
      <c r="G136" s="31">
        <f>SUM(G102:G135)</f>
        <v>222780.08</v>
      </c>
      <c r="H136" s="31">
        <f>SUM(H123:H135)</f>
        <v>31761.305</v>
      </c>
      <c r="I136" s="30"/>
      <c r="J136" s="25">
        <f>H136/C123</f>
        <v>1.2704522</v>
      </c>
      <c r="K136" s="161">
        <f>J136</f>
        <v>1.2704522</v>
      </c>
      <c r="L136" s="3"/>
      <c r="N136" s="84">
        <f>B169</f>
        <v>44980</v>
      </c>
      <c r="O136" s="86">
        <f t="shared" ref="O136" si="97">O135+S136</f>
        <v>317257.04760000011</v>
      </c>
      <c r="P136" s="84">
        <f t="shared" ref="P136" si="98">N136</f>
        <v>44980</v>
      </c>
      <c r="Q136" s="83">
        <f>S136</f>
        <v>3145.25</v>
      </c>
      <c r="R136" s="83"/>
      <c r="S136" s="83">
        <f>H169</f>
        <v>3145.25</v>
      </c>
    </row>
    <row r="137" spans="2:19" ht="15.75" customHeight="1">
      <c r="B137" s="21"/>
      <c r="C137" s="21"/>
      <c r="D137" s="21"/>
      <c r="E137" s="21"/>
      <c r="F137" s="48"/>
      <c r="G137" s="31"/>
      <c r="H137" s="31"/>
      <c r="I137" s="30"/>
      <c r="J137" s="25"/>
      <c r="L137" s="3"/>
      <c r="N137" s="84">
        <f>B170</f>
        <v>45008</v>
      </c>
      <c r="O137" s="86">
        <f t="shared" ref="O137" si="99">O136+S137</f>
        <v>319280.56760000013</v>
      </c>
      <c r="P137" s="84">
        <f t="shared" ref="P137" si="100">N137</f>
        <v>45008</v>
      </c>
      <c r="Q137" s="83">
        <f>S137</f>
        <v>2023.52</v>
      </c>
      <c r="R137" s="83"/>
      <c r="S137" s="83">
        <f>H170</f>
        <v>2023.52</v>
      </c>
    </row>
    <row r="138" spans="2:19" ht="15.75" customHeight="1">
      <c r="B138" s="23">
        <v>44217</v>
      </c>
      <c r="C138" s="26">
        <f>C123</f>
        <v>25000</v>
      </c>
      <c r="D138" s="26">
        <f>D134</f>
        <v>0</v>
      </c>
      <c r="E138" s="21"/>
      <c r="F138" s="48">
        <f>C123-I134</f>
        <v>-31761.304999999993</v>
      </c>
      <c r="G138" s="31"/>
      <c r="H138" s="26">
        <v>-2036.74</v>
      </c>
      <c r="I138" s="26">
        <f>25000+H138</f>
        <v>22963.26</v>
      </c>
      <c r="J138" s="24">
        <f t="shared" ref="J138:J149" si="101">H138/25000</f>
        <v>-8.1469600000000003E-2</v>
      </c>
      <c r="L138" s="3"/>
      <c r="N138" s="90"/>
      <c r="P138" s="90"/>
    </row>
    <row r="139" spans="2:19" ht="15.75" customHeight="1">
      <c r="B139" s="23">
        <v>44248</v>
      </c>
      <c r="C139" s="26">
        <f t="shared" ref="C139:C149" si="102">I138</f>
        <v>22963.26</v>
      </c>
      <c r="D139" s="26">
        <f>D135</f>
        <v>0</v>
      </c>
      <c r="E139" s="21"/>
      <c r="F139" s="26">
        <f>F135</f>
        <v>0</v>
      </c>
      <c r="G139" s="31"/>
      <c r="H139" s="26">
        <v>5169</v>
      </c>
      <c r="I139" s="26">
        <f t="shared" ref="I139:I149" si="103">C139+H139</f>
        <v>28132.26</v>
      </c>
      <c r="J139" s="24">
        <f t="shared" si="101"/>
        <v>0.20676</v>
      </c>
      <c r="L139" s="3"/>
      <c r="N139" s="90"/>
      <c r="P139" s="90"/>
    </row>
    <row r="140" spans="2:19" ht="15.75" customHeight="1">
      <c r="B140" s="23">
        <v>44276</v>
      </c>
      <c r="C140" s="26">
        <f t="shared" si="102"/>
        <v>28132.26</v>
      </c>
      <c r="D140" s="26">
        <f>D136</f>
        <v>0</v>
      </c>
      <c r="E140" s="21"/>
      <c r="F140" s="26">
        <f>F136</f>
        <v>0</v>
      </c>
      <c r="G140" s="31"/>
      <c r="H140" s="26">
        <v>13907.35</v>
      </c>
      <c r="I140" s="26">
        <f t="shared" si="103"/>
        <v>42039.61</v>
      </c>
      <c r="J140" s="24">
        <f t="shared" si="101"/>
        <v>0.55629400000000007</v>
      </c>
      <c r="L140" s="3"/>
      <c r="N140" s="90"/>
      <c r="P140" s="90"/>
    </row>
    <row r="141" spans="2:19" ht="15.75" customHeight="1">
      <c r="B141" s="23">
        <v>44307</v>
      </c>
      <c r="C141" s="26">
        <f t="shared" si="102"/>
        <v>42039.61</v>
      </c>
      <c r="D141" s="26">
        <f>D137</f>
        <v>0</v>
      </c>
      <c r="E141" s="21"/>
      <c r="F141" s="26">
        <f>F137</f>
        <v>0</v>
      </c>
      <c r="G141" s="31"/>
      <c r="H141" s="26">
        <v>-722.14</v>
      </c>
      <c r="I141" s="26">
        <f t="shared" si="103"/>
        <v>41317.47</v>
      </c>
      <c r="J141" s="24">
        <f t="shared" si="101"/>
        <v>-2.8885600000000001E-2</v>
      </c>
      <c r="L141" s="3"/>
      <c r="N141" s="90"/>
      <c r="P141" s="90"/>
    </row>
    <row r="142" spans="2:19" ht="15.75" customHeight="1">
      <c r="B142" s="23">
        <v>44337</v>
      </c>
      <c r="C142" s="26">
        <f t="shared" si="102"/>
        <v>41317.47</v>
      </c>
      <c r="D142" s="26">
        <f t="shared" ref="D142:D149" si="104">D140</f>
        <v>0</v>
      </c>
      <c r="E142" s="21"/>
      <c r="F142" s="26">
        <f t="shared" ref="F142:F149" si="105">F140</f>
        <v>0</v>
      </c>
      <c r="G142" s="31"/>
      <c r="H142" s="26">
        <v>7002.2</v>
      </c>
      <c r="I142" s="26">
        <f t="shared" si="103"/>
        <v>48319.67</v>
      </c>
      <c r="J142" s="24">
        <f t="shared" si="101"/>
        <v>0.280088</v>
      </c>
      <c r="L142" s="3"/>
      <c r="N142" s="90"/>
    </row>
    <row r="143" spans="2:19" ht="15.75" customHeight="1">
      <c r="B143" s="23">
        <v>44368</v>
      </c>
      <c r="C143" s="26">
        <f t="shared" si="102"/>
        <v>48319.67</v>
      </c>
      <c r="D143" s="26">
        <f t="shared" si="104"/>
        <v>0</v>
      </c>
      <c r="E143" s="21"/>
      <c r="F143" s="26">
        <f t="shared" si="105"/>
        <v>0</v>
      </c>
      <c r="G143" s="31"/>
      <c r="H143" s="26">
        <v>8053.75</v>
      </c>
      <c r="I143" s="26">
        <f t="shared" si="103"/>
        <v>56373.42</v>
      </c>
      <c r="J143" s="24">
        <f t="shared" si="101"/>
        <v>0.32214999999999999</v>
      </c>
      <c r="L143" s="3"/>
      <c r="N143" s="90"/>
    </row>
    <row r="144" spans="2:19" ht="15.75" customHeight="1">
      <c r="B144" s="23">
        <v>44398</v>
      </c>
      <c r="C144" s="26">
        <f t="shared" si="102"/>
        <v>56373.42</v>
      </c>
      <c r="D144" s="26">
        <f t="shared" si="104"/>
        <v>0</v>
      </c>
      <c r="E144" s="21"/>
      <c r="F144" s="26">
        <f t="shared" si="105"/>
        <v>0</v>
      </c>
      <c r="G144" s="31"/>
      <c r="H144" s="26">
        <v>283.75</v>
      </c>
      <c r="I144" s="26">
        <f t="shared" si="103"/>
        <v>56657.17</v>
      </c>
      <c r="J144" s="24">
        <f t="shared" si="101"/>
        <v>1.1350000000000001E-2</v>
      </c>
      <c r="L144" s="3"/>
      <c r="N144" s="90"/>
    </row>
    <row r="145" spans="2:16" ht="15.75" customHeight="1">
      <c r="B145" s="23">
        <v>44429</v>
      </c>
      <c r="C145" s="26">
        <f t="shared" si="102"/>
        <v>56657.17</v>
      </c>
      <c r="D145" s="26">
        <f t="shared" si="104"/>
        <v>0</v>
      </c>
      <c r="E145" s="21"/>
      <c r="F145" s="26">
        <f t="shared" si="105"/>
        <v>0</v>
      </c>
      <c r="G145" s="31"/>
      <c r="H145" s="26">
        <v>-6561.2250000000004</v>
      </c>
      <c r="I145" s="26">
        <f t="shared" si="103"/>
        <v>50095.945</v>
      </c>
      <c r="J145" s="24">
        <f t="shared" si="101"/>
        <v>-0.26244899999999999</v>
      </c>
      <c r="L145" s="3"/>
      <c r="N145" s="90"/>
      <c r="O145" s="91"/>
      <c r="P145" s="84"/>
    </row>
    <row r="146" spans="2:16" ht="15.75" customHeight="1">
      <c r="B146" s="23">
        <v>44460</v>
      </c>
      <c r="C146" s="26">
        <f t="shared" si="102"/>
        <v>50095.945</v>
      </c>
      <c r="D146" s="26">
        <f t="shared" si="104"/>
        <v>0</v>
      </c>
      <c r="E146" s="21"/>
      <c r="F146" s="26">
        <f t="shared" si="105"/>
        <v>0</v>
      </c>
      <c r="G146" s="31"/>
      <c r="H146" s="26">
        <v>501.75</v>
      </c>
      <c r="I146" s="26">
        <f t="shared" si="103"/>
        <v>50597.695</v>
      </c>
      <c r="J146" s="24">
        <f t="shared" si="101"/>
        <v>2.0070000000000001E-2</v>
      </c>
      <c r="L146" s="3"/>
      <c r="N146" s="84"/>
      <c r="O146" s="91"/>
      <c r="P146" s="84"/>
    </row>
    <row r="147" spans="2:16" ht="15.75" customHeight="1">
      <c r="B147" s="23">
        <v>44490</v>
      </c>
      <c r="C147" s="26">
        <f t="shared" si="102"/>
        <v>50597.695</v>
      </c>
      <c r="D147" s="26">
        <f t="shared" si="104"/>
        <v>0</v>
      </c>
      <c r="E147" s="21"/>
      <c r="F147" s="26">
        <f t="shared" si="105"/>
        <v>0</v>
      </c>
      <c r="G147" s="31"/>
      <c r="H147" s="26">
        <v>1003.1</v>
      </c>
      <c r="I147" s="26">
        <f t="shared" si="103"/>
        <v>51600.794999999998</v>
      </c>
      <c r="J147" s="24">
        <f t="shared" si="101"/>
        <v>4.0124E-2</v>
      </c>
      <c r="L147" s="3"/>
      <c r="N147" s="84"/>
      <c r="O147" s="91"/>
      <c r="P147" s="84"/>
    </row>
    <row r="148" spans="2:16" ht="15.75" customHeight="1">
      <c r="B148" s="23">
        <v>44886</v>
      </c>
      <c r="C148" s="26">
        <f t="shared" si="102"/>
        <v>51600.794999999998</v>
      </c>
      <c r="D148" s="26">
        <f t="shared" si="104"/>
        <v>0</v>
      </c>
      <c r="E148" s="21"/>
      <c r="F148" s="26">
        <f t="shared" si="105"/>
        <v>0</v>
      </c>
      <c r="G148" s="31"/>
      <c r="H148" s="26">
        <v>3624.2</v>
      </c>
      <c r="I148" s="26">
        <f t="shared" si="103"/>
        <v>55224.994999999995</v>
      </c>
      <c r="J148" s="24">
        <f t="shared" si="101"/>
        <v>0.14496799999999999</v>
      </c>
      <c r="L148" s="3"/>
      <c r="N148" s="84"/>
      <c r="O148" s="91"/>
      <c r="P148" s="84"/>
    </row>
    <row r="149" spans="2:16" ht="15.75" customHeight="1">
      <c r="B149" s="23">
        <v>44916</v>
      </c>
      <c r="C149" s="26">
        <f t="shared" si="102"/>
        <v>55224.994999999995</v>
      </c>
      <c r="D149" s="26">
        <f t="shared" si="104"/>
        <v>0</v>
      </c>
      <c r="E149" s="21"/>
      <c r="F149" s="26">
        <f t="shared" si="105"/>
        <v>0</v>
      </c>
      <c r="G149" s="31"/>
      <c r="H149" s="26">
        <v>-1790.13</v>
      </c>
      <c r="I149" s="26">
        <f t="shared" si="103"/>
        <v>53434.864999999998</v>
      </c>
      <c r="J149" s="24">
        <f t="shared" si="101"/>
        <v>-7.1605200000000008E-2</v>
      </c>
      <c r="L149" s="3"/>
      <c r="N149" s="84"/>
      <c r="O149" s="91"/>
      <c r="P149" s="84"/>
    </row>
    <row r="150" spans="2:16" ht="15.75" customHeight="1">
      <c r="B150" s="21"/>
      <c r="C150" s="21"/>
      <c r="D150" s="21"/>
      <c r="E150" s="21"/>
      <c r="F150" s="48"/>
      <c r="G150" s="31"/>
      <c r="H150" s="49" t="s">
        <v>11</v>
      </c>
      <c r="I150" s="21"/>
      <c r="J150" s="49" t="s">
        <v>11</v>
      </c>
      <c r="L150" s="3"/>
      <c r="N150" s="84"/>
      <c r="O150" s="91"/>
      <c r="P150" s="84"/>
    </row>
    <row r="151" spans="2:16" ht="15.75" customHeight="1">
      <c r="B151" s="21"/>
      <c r="C151" s="21"/>
      <c r="D151" s="21"/>
      <c r="E151" s="21"/>
      <c r="F151" s="48"/>
      <c r="G151" s="31"/>
      <c r="H151" s="31">
        <f>SUM(H138:H150)</f>
        <v>28434.864999999998</v>
      </c>
      <c r="I151" s="30"/>
      <c r="J151" s="25">
        <f>H151/C138</f>
        <v>1.1373945999999999</v>
      </c>
      <c r="K151" s="161">
        <f>J151</f>
        <v>1.1373945999999999</v>
      </c>
      <c r="L151" s="3">
        <f>H151</f>
        <v>28434.864999999998</v>
      </c>
      <c r="M151" s="6">
        <v>12</v>
      </c>
      <c r="N151" s="84"/>
      <c r="O151" s="91"/>
      <c r="P151" s="84"/>
    </row>
    <row r="152" spans="2:16" ht="15.75" customHeight="1">
      <c r="B152" s="21"/>
      <c r="C152" s="21"/>
      <c r="D152" s="21"/>
      <c r="E152" s="21"/>
      <c r="F152" s="48"/>
      <c r="G152" s="31"/>
      <c r="H152" s="31"/>
      <c r="I152" s="30"/>
      <c r="J152" s="25"/>
      <c r="L152" s="3"/>
      <c r="N152" s="84"/>
      <c r="O152" s="91"/>
      <c r="P152" s="84"/>
    </row>
    <row r="153" spans="2:16" ht="15.75" customHeight="1">
      <c r="B153" s="72">
        <v>44582</v>
      </c>
      <c r="C153" s="26">
        <f>C138</f>
        <v>25000</v>
      </c>
      <c r="D153" s="26">
        <f>D149</f>
        <v>0</v>
      </c>
      <c r="E153" s="21"/>
      <c r="F153" s="48">
        <f>-H151</f>
        <v>-28434.864999999998</v>
      </c>
      <c r="G153" s="31"/>
      <c r="H153" s="26">
        <v>-985</v>
      </c>
      <c r="I153" s="26">
        <f t="shared" ref="I153:I158" si="106">C153+H153</f>
        <v>24015</v>
      </c>
      <c r="J153" s="24">
        <f t="shared" ref="J153:J158" si="107">H153/25000</f>
        <v>-3.9399999999999998E-2</v>
      </c>
      <c r="L153" s="3"/>
      <c r="N153" s="84"/>
      <c r="O153" s="91"/>
      <c r="P153" s="84"/>
    </row>
    <row r="154" spans="2:16" ht="15.75" customHeight="1">
      <c r="B154" s="72">
        <v>44614</v>
      </c>
      <c r="C154" s="26">
        <f t="shared" ref="C154:C159" si="108">I153</f>
        <v>24015</v>
      </c>
      <c r="D154" s="26">
        <f t="shared" ref="D154:D164" si="109">D149</f>
        <v>0</v>
      </c>
      <c r="E154" s="21"/>
      <c r="F154" s="48">
        <f>F149</f>
        <v>0</v>
      </c>
      <c r="G154" s="31"/>
      <c r="H154" s="26">
        <v>-4690.5</v>
      </c>
      <c r="I154" s="26">
        <f t="shared" si="106"/>
        <v>19324.5</v>
      </c>
      <c r="J154" s="24">
        <f t="shared" si="107"/>
        <v>-0.18762000000000001</v>
      </c>
      <c r="L154" s="3"/>
      <c r="N154" s="84"/>
      <c r="O154" s="91"/>
      <c r="P154" s="84"/>
    </row>
    <row r="155" spans="2:16" ht="15.75" customHeight="1">
      <c r="B155" s="72">
        <v>44642</v>
      </c>
      <c r="C155" s="26">
        <f t="shared" si="108"/>
        <v>19324.5</v>
      </c>
      <c r="D155" s="26">
        <f t="shared" si="109"/>
        <v>0</v>
      </c>
      <c r="E155" s="21"/>
      <c r="F155" s="48">
        <f t="shared" ref="F155:F164" si="110">F154</f>
        <v>0</v>
      </c>
      <c r="G155" s="31"/>
      <c r="H155" s="26">
        <v>9979.9699999999993</v>
      </c>
      <c r="I155" s="26">
        <f t="shared" si="106"/>
        <v>29304.47</v>
      </c>
      <c r="J155" s="24">
        <f t="shared" si="107"/>
        <v>0.39919879999999996</v>
      </c>
      <c r="L155" s="3"/>
      <c r="N155" s="84"/>
      <c r="O155" s="91"/>
      <c r="P155" s="84"/>
    </row>
    <row r="156" spans="2:16" ht="15.75" customHeight="1">
      <c r="B156" s="72">
        <v>44673</v>
      </c>
      <c r="C156" s="26">
        <f t="shared" si="108"/>
        <v>29304.47</v>
      </c>
      <c r="D156" s="26">
        <f t="shared" si="109"/>
        <v>0</v>
      </c>
      <c r="E156" s="21"/>
      <c r="F156" s="48">
        <f t="shared" si="110"/>
        <v>0</v>
      </c>
      <c r="G156" s="31"/>
      <c r="H156" s="26">
        <v>16642.5</v>
      </c>
      <c r="I156" s="26">
        <f t="shared" si="106"/>
        <v>45946.97</v>
      </c>
      <c r="J156" s="24">
        <f t="shared" si="107"/>
        <v>0.66569999999999996</v>
      </c>
      <c r="L156" s="3"/>
      <c r="N156" s="84"/>
      <c r="O156" s="91"/>
      <c r="P156" s="84"/>
    </row>
    <row r="157" spans="2:16" ht="15.75" customHeight="1">
      <c r="B157" s="72">
        <v>44703</v>
      </c>
      <c r="C157" s="26">
        <f t="shared" si="108"/>
        <v>45946.97</v>
      </c>
      <c r="D157" s="26">
        <f t="shared" si="109"/>
        <v>0</v>
      </c>
      <c r="E157" s="21"/>
      <c r="F157" s="48">
        <f t="shared" si="110"/>
        <v>0</v>
      </c>
      <c r="G157" s="31"/>
      <c r="H157" s="26">
        <v>-1886.38</v>
      </c>
      <c r="I157" s="26">
        <f t="shared" si="106"/>
        <v>44060.590000000004</v>
      </c>
      <c r="J157" s="24">
        <f t="shared" si="107"/>
        <v>-7.54552E-2</v>
      </c>
      <c r="L157" s="3"/>
      <c r="N157" s="84"/>
      <c r="O157" s="91"/>
      <c r="P157" s="84"/>
    </row>
    <row r="158" spans="2:16" ht="15.75" customHeight="1">
      <c r="B158" s="72">
        <v>44734</v>
      </c>
      <c r="C158" s="26">
        <f t="shared" si="108"/>
        <v>44060.590000000004</v>
      </c>
      <c r="D158" s="26">
        <f t="shared" si="109"/>
        <v>0</v>
      </c>
      <c r="E158" s="21"/>
      <c r="F158" s="48">
        <f t="shared" si="110"/>
        <v>0</v>
      </c>
      <c r="G158" s="31"/>
      <c r="H158" s="26">
        <v>12330.5</v>
      </c>
      <c r="I158" s="26">
        <f t="shared" si="106"/>
        <v>56391.090000000004</v>
      </c>
      <c r="J158" s="24">
        <f t="shared" si="107"/>
        <v>0.49321999999999999</v>
      </c>
      <c r="L158" s="3"/>
      <c r="N158" s="84"/>
      <c r="O158" s="91"/>
      <c r="P158" s="84"/>
    </row>
    <row r="159" spans="2:16" ht="15.75" customHeight="1">
      <c r="B159" s="72">
        <v>44764</v>
      </c>
      <c r="C159" s="26">
        <f t="shared" si="108"/>
        <v>56391.090000000004</v>
      </c>
      <c r="D159" s="26">
        <f t="shared" si="109"/>
        <v>0</v>
      </c>
      <c r="E159" s="21"/>
      <c r="F159" s="48">
        <f t="shared" si="110"/>
        <v>0</v>
      </c>
      <c r="G159" s="31"/>
      <c r="H159" s="26">
        <v>870.5</v>
      </c>
      <c r="I159" s="26">
        <f t="shared" ref="I159:I161" si="111">C159+H159</f>
        <v>57261.590000000004</v>
      </c>
      <c r="J159" s="24">
        <f t="shared" ref="J159:J160" si="112">H159/25000</f>
        <v>3.4819999999999997E-2</v>
      </c>
      <c r="L159" s="3"/>
      <c r="N159" s="84"/>
      <c r="O159" s="91"/>
      <c r="P159" s="84"/>
    </row>
    <row r="160" spans="2:16" ht="15.75" customHeight="1">
      <c r="B160" s="72">
        <v>44795</v>
      </c>
      <c r="C160" s="26">
        <f t="shared" ref="C160" si="113">I159</f>
        <v>57261.590000000004</v>
      </c>
      <c r="D160" s="26">
        <f t="shared" si="109"/>
        <v>0</v>
      </c>
      <c r="E160" s="21"/>
      <c r="F160" s="48">
        <f t="shared" si="110"/>
        <v>0</v>
      </c>
      <c r="G160" s="31"/>
      <c r="H160" s="26">
        <v>800.94</v>
      </c>
      <c r="I160" s="26">
        <f t="shared" si="111"/>
        <v>58062.530000000006</v>
      </c>
      <c r="J160" s="24">
        <f t="shared" si="112"/>
        <v>3.2037599999999999E-2</v>
      </c>
      <c r="L160" s="3"/>
      <c r="N160" s="84"/>
      <c r="O160" s="91"/>
      <c r="P160" s="84"/>
    </row>
    <row r="161" spans="2:16" ht="15.75" customHeight="1">
      <c r="B161" s="72">
        <v>44826</v>
      </c>
      <c r="C161" s="26">
        <f t="shared" ref="C161" si="114">I160</f>
        <v>58062.530000000006</v>
      </c>
      <c r="D161" s="26">
        <f t="shared" si="109"/>
        <v>0</v>
      </c>
      <c r="E161" s="21"/>
      <c r="F161" s="48">
        <f t="shared" si="110"/>
        <v>0</v>
      </c>
      <c r="G161" s="31"/>
      <c r="H161" s="26">
        <v>7225.7</v>
      </c>
      <c r="I161" s="26">
        <f t="shared" si="111"/>
        <v>65288.23</v>
      </c>
      <c r="J161" s="24">
        <f t="shared" ref="J161" si="115">H161/25000</f>
        <v>0.28902800000000001</v>
      </c>
      <c r="L161" s="3"/>
      <c r="N161" s="84"/>
      <c r="O161" s="91"/>
      <c r="P161" s="84"/>
    </row>
    <row r="162" spans="2:16" ht="15.75" customHeight="1">
      <c r="B162" s="72">
        <v>44856</v>
      </c>
      <c r="C162" s="26">
        <f t="shared" ref="C162" si="116">I161</f>
        <v>65288.23</v>
      </c>
      <c r="D162" s="26">
        <f t="shared" si="109"/>
        <v>0</v>
      </c>
      <c r="E162" s="21"/>
      <c r="F162" s="48">
        <f t="shared" si="110"/>
        <v>0</v>
      </c>
      <c r="G162" s="31"/>
      <c r="H162" s="26">
        <v>-1550</v>
      </c>
      <c r="I162" s="26">
        <f t="shared" ref="I162" si="117">C162+H162</f>
        <v>63738.23</v>
      </c>
      <c r="J162" s="24">
        <f t="shared" ref="J162" si="118">H162/25000</f>
        <v>-6.2E-2</v>
      </c>
      <c r="L162" s="3"/>
      <c r="N162" s="84"/>
      <c r="O162" s="91"/>
      <c r="P162" s="84"/>
    </row>
    <row r="163" spans="2:16" ht="15.75" customHeight="1">
      <c r="B163" s="72">
        <v>44887</v>
      </c>
      <c r="C163" s="26">
        <f t="shared" ref="C163" si="119">I162</f>
        <v>63738.23</v>
      </c>
      <c r="D163" s="26">
        <f t="shared" si="109"/>
        <v>0</v>
      </c>
      <c r="E163" s="21"/>
      <c r="F163" s="48">
        <f t="shared" si="110"/>
        <v>0</v>
      </c>
      <c r="G163" s="31"/>
      <c r="H163" s="26">
        <v>22136.9</v>
      </c>
      <c r="I163" s="26">
        <f t="shared" ref="I163:I164" si="120">C163+H163</f>
        <v>85875.13</v>
      </c>
      <c r="J163" s="24">
        <f t="shared" ref="J163:J164" si="121">H163/25000</f>
        <v>0.88547600000000004</v>
      </c>
      <c r="L163" s="3"/>
      <c r="N163" s="84"/>
      <c r="O163" s="91"/>
      <c r="P163" s="84"/>
    </row>
    <row r="164" spans="2:16" ht="15.75" customHeight="1">
      <c r="B164" s="72">
        <v>44917</v>
      </c>
      <c r="C164" s="26">
        <f t="shared" ref="C164" si="122">I163</f>
        <v>85875.13</v>
      </c>
      <c r="D164" s="26">
        <f t="shared" si="109"/>
        <v>0</v>
      </c>
      <c r="E164" s="21"/>
      <c r="F164" s="48">
        <f t="shared" si="110"/>
        <v>0</v>
      </c>
      <c r="G164" s="31"/>
      <c r="H164" s="26">
        <v>10634.33</v>
      </c>
      <c r="I164" s="26">
        <f t="shared" si="120"/>
        <v>96509.46</v>
      </c>
      <c r="J164" s="24">
        <f t="shared" si="121"/>
        <v>0.42537320000000001</v>
      </c>
      <c r="L164" s="3"/>
      <c r="N164" s="84"/>
      <c r="O164" s="91"/>
      <c r="P164" s="84"/>
    </row>
    <row r="165" spans="2:16" ht="15.75" customHeight="1">
      <c r="B165" s="21"/>
      <c r="C165" s="21"/>
      <c r="D165" s="21"/>
      <c r="E165" s="21"/>
      <c r="F165" s="48"/>
      <c r="G165" s="31"/>
      <c r="H165" s="49" t="s">
        <v>11</v>
      </c>
      <c r="I165" s="21"/>
      <c r="J165" s="49" t="s">
        <v>11</v>
      </c>
      <c r="L165" s="3"/>
      <c r="N165" s="84"/>
      <c r="O165" s="91"/>
      <c r="P165" s="84"/>
    </row>
    <row r="166" spans="2:16" ht="15.75" customHeight="1">
      <c r="B166" s="21"/>
      <c r="C166" s="21"/>
      <c r="D166" s="21"/>
      <c r="E166" s="21"/>
      <c r="F166" s="48"/>
      <c r="G166" s="31"/>
      <c r="H166" s="31">
        <f>SUM(H153:H165)</f>
        <v>71509.459999999992</v>
      </c>
      <c r="I166" s="30"/>
      <c r="J166" s="25">
        <f>H166/C138</f>
        <v>2.8603783999999997</v>
      </c>
      <c r="K166" s="161">
        <f>J166</f>
        <v>2.8603783999999997</v>
      </c>
      <c r="L166" s="3">
        <f>H166</f>
        <v>71509.459999999992</v>
      </c>
      <c r="M166" s="6">
        <v>12</v>
      </c>
      <c r="N166" s="84"/>
      <c r="O166" s="91"/>
      <c r="P166" s="84"/>
    </row>
    <row r="167" spans="2:16" ht="15.75" customHeight="1">
      <c r="B167" s="21"/>
      <c r="C167" s="21"/>
      <c r="D167" s="21"/>
      <c r="E167" s="21"/>
      <c r="F167" s="48"/>
      <c r="G167" s="31"/>
      <c r="H167" s="31"/>
      <c r="I167" s="30"/>
      <c r="J167" s="25"/>
      <c r="L167" s="3"/>
      <c r="N167" s="84"/>
      <c r="O167" s="91"/>
      <c r="P167" s="84"/>
    </row>
    <row r="168" spans="2:16" ht="15.75" customHeight="1">
      <c r="B168" s="72">
        <v>44949</v>
      </c>
      <c r="C168" s="26">
        <f>C153</f>
        <v>25000</v>
      </c>
      <c r="D168" s="26">
        <f>D160</f>
        <v>0</v>
      </c>
      <c r="E168" s="21"/>
      <c r="F168" s="48">
        <f>-H166</f>
        <v>-71509.459999999992</v>
      </c>
      <c r="G168" s="31"/>
      <c r="H168" s="26">
        <v>7634.08</v>
      </c>
      <c r="I168" s="26">
        <f t="shared" ref="I168:I169" si="123">C168+H168</f>
        <v>32634.080000000002</v>
      </c>
      <c r="J168" s="24">
        <f t="shared" ref="J168:J169" si="124">H168/25000</f>
        <v>0.3053632</v>
      </c>
      <c r="L168" s="3"/>
      <c r="M168" s="6">
        <v>3</v>
      </c>
      <c r="N168" s="84"/>
      <c r="O168" s="91"/>
      <c r="P168" s="84"/>
    </row>
    <row r="169" spans="2:16" ht="15.75" customHeight="1">
      <c r="B169" s="72">
        <v>44980</v>
      </c>
      <c r="C169" s="26">
        <f t="shared" ref="C169" si="125">I168</f>
        <v>32634.080000000002</v>
      </c>
      <c r="D169" s="26">
        <f t="shared" ref="D169:D170" si="126">D164</f>
        <v>0</v>
      </c>
      <c r="E169" s="21"/>
      <c r="F169" s="48">
        <f>F164</f>
        <v>0</v>
      </c>
      <c r="G169" s="31"/>
      <c r="H169" s="26">
        <v>3145.25</v>
      </c>
      <c r="I169" s="26">
        <f t="shared" si="123"/>
        <v>35779.33</v>
      </c>
      <c r="J169" s="24">
        <f t="shared" si="124"/>
        <v>0.12581000000000001</v>
      </c>
      <c r="L169" s="3"/>
      <c r="N169" s="84"/>
      <c r="O169" s="91"/>
      <c r="P169" s="84"/>
    </row>
    <row r="170" spans="2:16" ht="15.75" customHeight="1">
      <c r="B170" s="72">
        <v>45008</v>
      </c>
      <c r="C170" s="26">
        <f t="shared" ref="C170" si="127">I169</f>
        <v>35779.33</v>
      </c>
      <c r="D170" s="26">
        <f t="shared" si="126"/>
        <v>0</v>
      </c>
      <c r="E170" s="21"/>
      <c r="F170" s="48">
        <f>F165</f>
        <v>0</v>
      </c>
      <c r="G170" s="31"/>
      <c r="H170" s="26">
        <v>2023.52</v>
      </c>
      <c r="I170" s="26">
        <f t="shared" ref="I170" si="128">C170+H170</f>
        <v>37802.85</v>
      </c>
      <c r="J170" s="24">
        <f t="shared" ref="J170" si="129">H170/25000</f>
        <v>8.0940799999999993E-2</v>
      </c>
      <c r="L170" s="3"/>
      <c r="N170" s="84"/>
      <c r="O170" s="91"/>
      <c r="P170" s="84"/>
    </row>
    <row r="171" spans="2:16" ht="15.75" customHeight="1">
      <c r="B171" s="21"/>
      <c r="C171" s="21"/>
      <c r="D171" s="21"/>
      <c r="E171" s="21"/>
      <c r="F171" s="48"/>
      <c r="G171" s="31"/>
      <c r="H171" s="49" t="s">
        <v>11</v>
      </c>
      <c r="I171" s="30"/>
      <c r="J171" s="25"/>
      <c r="L171" s="3"/>
      <c r="N171" s="84"/>
      <c r="O171" s="91"/>
      <c r="P171" s="84"/>
    </row>
    <row r="172" spans="2:16" ht="15.75" customHeight="1">
      <c r="B172" s="21"/>
      <c r="C172" s="21"/>
      <c r="D172" s="21"/>
      <c r="E172" s="21"/>
      <c r="F172" s="48"/>
      <c r="G172" s="31"/>
      <c r="H172" s="31">
        <f>SUM(H168:H171)</f>
        <v>12802.85</v>
      </c>
      <c r="I172" s="30"/>
      <c r="J172" s="25">
        <f>H172/C168</f>
        <v>0.51211400000000007</v>
      </c>
      <c r="K172" s="161">
        <f>J172</f>
        <v>0.51211400000000007</v>
      </c>
      <c r="L172" s="3">
        <f>H172</f>
        <v>12802.85</v>
      </c>
      <c r="N172" s="84"/>
      <c r="O172" s="91"/>
      <c r="P172" s="84"/>
    </row>
    <row r="173" spans="2:16" ht="15.75" customHeight="1">
      <c r="B173" s="21"/>
      <c r="C173" s="21"/>
      <c r="D173" s="21"/>
      <c r="E173" s="21"/>
      <c r="F173" s="48"/>
      <c r="G173" s="31"/>
      <c r="H173" s="31"/>
      <c r="I173" s="30"/>
      <c r="J173" s="25"/>
      <c r="L173" s="3"/>
      <c r="N173" s="84"/>
      <c r="O173" s="91"/>
      <c r="P173" s="84"/>
    </row>
    <row r="174" spans="2:16" ht="15.75" customHeight="1">
      <c r="B174" s="21"/>
      <c r="C174" s="21"/>
      <c r="D174" s="21"/>
      <c r="E174" s="21"/>
      <c r="F174" s="48"/>
      <c r="G174" s="31"/>
      <c r="H174" s="31"/>
      <c r="I174" s="30"/>
      <c r="J174" s="25"/>
      <c r="L174" s="3"/>
      <c r="N174" s="84"/>
      <c r="O174" s="91"/>
      <c r="P174" s="84"/>
    </row>
    <row r="175" spans="2:16" ht="15.75" customHeight="1">
      <c r="B175" s="21"/>
      <c r="C175" s="21"/>
      <c r="D175" s="21"/>
      <c r="E175" s="21"/>
      <c r="F175" s="48"/>
      <c r="G175" s="31"/>
      <c r="H175" s="116" t="s">
        <v>140</v>
      </c>
      <c r="I175" s="30"/>
      <c r="J175" s="25"/>
      <c r="L175" s="3"/>
      <c r="N175" s="84"/>
      <c r="O175" s="91"/>
      <c r="P175" s="84"/>
    </row>
    <row r="176" spans="2:16" ht="15.75" customHeight="1">
      <c r="B176" s="21"/>
      <c r="C176" s="21"/>
      <c r="D176" s="21"/>
      <c r="E176" s="21"/>
      <c r="F176" s="48"/>
      <c r="G176" s="31"/>
      <c r="H176" s="116">
        <f>(SUM(H156:H164))+H172</f>
        <v>80007.839999999997</v>
      </c>
      <c r="I176" s="30"/>
      <c r="J176" s="25"/>
      <c r="K176" s="161">
        <f>MAX(K5:K173)</f>
        <v>2.8603783999999997</v>
      </c>
      <c r="L176" s="3"/>
      <c r="N176" s="84"/>
      <c r="O176" s="91"/>
      <c r="P176" s="84"/>
    </row>
    <row r="177" spans="2:16" ht="15.75" customHeight="1">
      <c r="B177" s="21"/>
      <c r="C177" s="21"/>
      <c r="D177" s="21"/>
      <c r="E177" s="21"/>
      <c r="F177" s="48"/>
      <c r="G177" s="31"/>
      <c r="H177" s="31"/>
      <c r="I177" s="30"/>
      <c r="J177" s="25"/>
      <c r="K177" s="161">
        <f>MIN(K5:K174)</f>
        <v>0.44582974800000003</v>
      </c>
      <c r="L177" s="3"/>
      <c r="N177" s="84"/>
      <c r="O177" s="91"/>
      <c r="P177" s="84"/>
    </row>
    <row r="178" spans="2:16" ht="14.25" customHeight="1">
      <c r="B178" s="21"/>
      <c r="C178" s="21"/>
      <c r="D178" s="21"/>
      <c r="E178" s="21"/>
      <c r="F178" s="48"/>
      <c r="G178" s="31"/>
      <c r="H178" s="31"/>
      <c r="I178" s="30"/>
      <c r="J178" s="25"/>
      <c r="L178" s="3"/>
      <c r="N178" s="84"/>
      <c r="O178" s="84"/>
      <c r="P178" s="33"/>
    </row>
    <row r="179" spans="2:16" ht="14.25" customHeight="1">
      <c r="B179" s="21"/>
      <c r="C179" s="21"/>
      <c r="D179" s="21"/>
      <c r="E179" s="21"/>
      <c r="F179" s="48"/>
      <c r="G179" s="31"/>
      <c r="H179" s="31"/>
      <c r="I179" s="30"/>
      <c r="J179" s="25"/>
      <c r="L179" s="3"/>
      <c r="N179" s="91"/>
      <c r="O179" s="84"/>
      <c r="P179" s="33"/>
    </row>
    <row r="180" spans="2:16" ht="14.25" customHeight="1">
      <c r="B180" s="21"/>
      <c r="C180" s="21"/>
      <c r="D180" s="21"/>
      <c r="E180" s="21"/>
      <c r="F180" s="48"/>
      <c r="G180" s="31"/>
      <c r="H180" s="31"/>
      <c r="I180" s="30"/>
      <c r="J180" s="25"/>
      <c r="L180" s="3"/>
      <c r="N180" s="91"/>
      <c r="O180" s="84"/>
      <c r="P180" s="33"/>
    </row>
    <row r="181" spans="2:16" ht="14.25" customHeight="1">
      <c r="B181" s="21"/>
      <c r="C181" s="21">
        <f>12972.24/35000</f>
        <v>0.37063542857142856</v>
      </c>
      <c r="D181" s="21"/>
      <c r="E181" s="21"/>
      <c r="F181" s="48"/>
      <c r="G181" s="31"/>
      <c r="H181" s="31"/>
      <c r="I181" s="30"/>
      <c r="J181" s="25"/>
      <c r="L181" s="3"/>
      <c r="N181" s="91"/>
      <c r="O181" s="84"/>
      <c r="P181" s="33"/>
    </row>
    <row r="182" spans="2:16" ht="14.25" customHeight="1">
      <c r="B182" s="21"/>
      <c r="C182" s="21"/>
      <c r="D182" s="21"/>
      <c r="E182" s="21"/>
      <c r="F182" s="115"/>
      <c r="G182" s="116"/>
      <c r="H182" s="116"/>
      <c r="I182" s="117"/>
      <c r="J182" s="25"/>
      <c r="L182" s="81">
        <f>SUM(L3:L180)</f>
        <v>319280.56759999995</v>
      </c>
      <c r="M182" s="76" t="s">
        <v>142</v>
      </c>
      <c r="N182" s="1"/>
      <c r="O182" s="84"/>
      <c r="P182" s="33"/>
    </row>
    <row r="183" spans="2:16" ht="14.25" customHeight="1">
      <c r="B183" s="21"/>
      <c r="C183" s="21"/>
      <c r="D183" s="21"/>
      <c r="E183" s="21"/>
      <c r="F183" s="115"/>
      <c r="G183" s="116"/>
      <c r="I183" s="117"/>
      <c r="J183" s="25"/>
      <c r="K183" s="33"/>
      <c r="L183" s="83"/>
      <c r="M183" s="76"/>
      <c r="N183" s="91"/>
      <c r="O183" s="84"/>
      <c r="P183" s="33"/>
    </row>
    <row r="184" spans="2:16" ht="14.25" customHeight="1">
      <c r="B184" s="21"/>
      <c r="C184" s="21"/>
      <c r="D184" s="21"/>
      <c r="E184" s="63">
        <f>L186</f>
        <v>0</v>
      </c>
      <c r="F184" s="116"/>
      <c r="G184" s="116"/>
      <c r="I184" s="104"/>
      <c r="J184" s="40"/>
      <c r="K184" s="33"/>
      <c r="L184" s="76"/>
      <c r="M184" s="6">
        <f>SUM(M5:M178)</f>
        <v>132</v>
      </c>
      <c r="N184" s="91"/>
      <c r="O184" s="91"/>
      <c r="P184" s="84"/>
    </row>
    <row r="185" spans="2:16" ht="18.75" customHeight="1">
      <c r="B185" s="54"/>
      <c r="C185" s="62"/>
      <c r="D185" s="79"/>
      <c r="E185" s="63"/>
      <c r="F185" s="116"/>
      <c r="G185" s="116"/>
      <c r="H185" s="117"/>
      <c r="I185" s="117"/>
      <c r="J185" s="25"/>
      <c r="K185" s="33"/>
      <c r="L185" s="76"/>
      <c r="M185" s="82"/>
      <c r="N185" s="84"/>
      <c r="O185" s="91"/>
      <c r="P185" s="84"/>
    </row>
    <row r="186" spans="2:16" ht="18.75" customHeight="1">
      <c r="B186" s="54"/>
      <c r="C186" s="77"/>
      <c r="D186" s="78"/>
      <c r="E186" s="63"/>
      <c r="F186" s="116"/>
      <c r="G186" s="116"/>
      <c r="H186" s="117" t="s">
        <v>144</v>
      </c>
      <c r="I186" s="117"/>
      <c r="J186" s="104"/>
      <c r="K186" s="33"/>
      <c r="L186" s="82"/>
      <c r="M186" s="84"/>
      <c r="N186" s="84"/>
      <c r="O186" s="92"/>
      <c r="P186" s="84"/>
    </row>
    <row r="187" spans="2:16" ht="18.75" customHeight="1">
      <c r="B187" s="54"/>
      <c r="C187" s="105" t="s">
        <v>12</v>
      </c>
      <c r="D187" s="128">
        <f>L182</f>
        <v>319280.56759999995</v>
      </c>
      <c r="E187" s="40">
        <f>L186</f>
        <v>0</v>
      </c>
      <c r="F187" s="118">
        <v>100000</v>
      </c>
      <c r="G187" s="83"/>
      <c r="H187" s="119" t="s">
        <v>133</v>
      </c>
      <c r="I187" s="78"/>
      <c r="J187" s="98"/>
      <c r="K187" s="33"/>
      <c r="L187" s="7"/>
      <c r="M187" s="73"/>
      <c r="N187" s="84"/>
      <c r="O187" s="91"/>
      <c r="P187" s="84"/>
    </row>
    <row r="188" spans="2:16" ht="18.75" customHeight="1">
      <c r="B188" s="54"/>
      <c r="C188" s="105" t="s">
        <v>14</v>
      </c>
      <c r="D188" s="128">
        <v>-12972</v>
      </c>
      <c r="E188" s="74">
        <f>L182</f>
        <v>319280.56759999995</v>
      </c>
      <c r="F188" s="120">
        <v>125000</v>
      </c>
      <c r="G188" s="91"/>
      <c r="H188" s="119" t="s">
        <v>136</v>
      </c>
      <c r="I188" s="78"/>
      <c r="J188" s="98"/>
      <c r="K188" s="33"/>
      <c r="L188" s="7"/>
      <c r="M188" s="73"/>
      <c r="N188" s="84"/>
      <c r="O188" s="91"/>
      <c r="P188" s="84"/>
    </row>
    <row r="189" spans="2:16" ht="18.75" customHeight="1">
      <c r="B189" s="54"/>
      <c r="C189" s="105" t="s">
        <v>143</v>
      </c>
      <c r="D189" s="128">
        <f>D187/M184</f>
        <v>2418.7921787878786</v>
      </c>
      <c r="E189" s="70">
        <v>12972.24</v>
      </c>
      <c r="F189" s="118">
        <v>62500</v>
      </c>
      <c r="G189" s="121">
        <f>E189/C138</f>
        <v>0.51888959999999995</v>
      </c>
      <c r="H189" s="122" t="s">
        <v>134</v>
      </c>
      <c r="I189" s="101"/>
      <c r="J189" s="98"/>
      <c r="K189" s="33"/>
      <c r="L189" s="7"/>
      <c r="M189" s="73"/>
      <c r="N189" s="84"/>
      <c r="O189" s="91"/>
      <c r="P189" s="84"/>
    </row>
    <row r="190" spans="2:16" ht="18.75" customHeight="1">
      <c r="B190" s="54"/>
      <c r="C190" s="105" t="s">
        <v>13</v>
      </c>
      <c r="D190" s="128">
        <f>D189*12</f>
        <v>29025.506145454543</v>
      </c>
      <c r="E190" s="71" t="e">
        <f>E188/L186</f>
        <v>#DIV/0!</v>
      </c>
      <c r="F190" s="118">
        <v>100000</v>
      </c>
      <c r="G190" s="123"/>
      <c r="H190" s="119" t="s">
        <v>135</v>
      </c>
      <c r="I190" s="101"/>
      <c r="J190" s="98"/>
      <c r="K190" s="33"/>
      <c r="L190" s="7"/>
      <c r="M190" s="73"/>
      <c r="N190" s="84"/>
      <c r="O190" s="91"/>
      <c r="P190" s="84"/>
    </row>
    <row r="191" spans="2:16" ht="18.75" customHeight="1">
      <c r="B191" s="54"/>
      <c r="C191" s="105" t="s">
        <v>15</v>
      </c>
      <c r="D191" s="129">
        <f>D190/C138</f>
        <v>1.1610202458181818</v>
      </c>
      <c r="E191" s="75" t="e">
        <f>E190*12</f>
        <v>#DIV/0!</v>
      </c>
      <c r="F191" s="118">
        <v>125000</v>
      </c>
      <c r="G191" s="123"/>
      <c r="H191" s="119" t="s">
        <v>137</v>
      </c>
      <c r="I191" s="102"/>
      <c r="J191" s="98"/>
      <c r="K191" s="33"/>
      <c r="L191" s="7"/>
      <c r="M191" s="73"/>
      <c r="N191" s="84"/>
      <c r="O191" s="91"/>
      <c r="P191" s="84"/>
    </row>
    <row r="192" spans="2:16" ht="18.75" customHeight="1">
      <c r="B192" s="12"/>
      <c r="C192" s="105"/>
      <c r="D192" s="130"/>
      <c r="E192" s="45" t="e">
        <f>E191/C123</f>
        <v>#DIV/0!</v>
      </c>
      <c r="F192" s="118">
        <v>125000</v>
      </c>
      <c r="G192" s="123"/>
      <c r="H192" s="119" t="s">
        <v>138</v>
      </c>
      <c r="I192" s="101"/>
      <c r="J192" s="98"/>
      <c r="K192" s="33"/>
      <c r="L192"/>
      <c r="M192" s="7"/>
      <c r="N192" s="84"/>
      <c r="O192" s="91"/>
      <c r="P192" s="84"/>
    </row>
    <row r="193" spans="3:16" ht="14.25" customHeight="1">
      <c r="C193" s="66" t="s">
        <v>140</v>
      </c>
      <c r="D193" s="76">
        <f>(SUM(H141:H149))+H166</f>
        <v>82904.714999999997</v>
      </c>
      <c r="E193" s="7" t="s">
        <v>131</v>
      </c>
      <c r="F193" s="124">
        <v>1000</v>
      </c>
      <c r="G193" s="125"/>
      <c r="H193" s="123" t="s">
        <v>141</v>
      </c>
      <c r="I193" s="157"/>
      <c r="J193" s="98"/>
      <c r="K193" s="33"/>
      <c r="L193"/>
      <c r="M193" s="7"/>
      <c r="N193" s="84"/>
      <c r="O193" s="91"/>
      <c r="P193" s="84"/>
    </row>
    <row r="194" spans="3:16" ht="20.25" customHeight="1">
      <c r="C194" s="66"/>
      <c r="D194" s="76"/>
      <c r="F194" s="156"/>
      <c r="G194" s="125"/>
      <c r="H194" s="123"/>
      <c r="I194" s="103"/>
      <c r="J194" s="98"/>
      <c r="K194" s="33"/>
      <c r="L194" s="6"/>
      <c r="M194" s="7"/>
      <c r="N194" s="84"/>
      <c r="O194" s="91"/>
      <c r="P194" s="84"/>
    </row>
    <row r="195" spans="3:16" ht="20.25" customHeight="1">
      <c r="C195" s="36"/>
      <c r="F195" s="82"/>
      <c r="G195" s="91"/>
      <c r="H195" s="126" t="s">
        <v>147</v>
      </c>
      <c r="I195" s="100">
        <f>SUM(I187:I194)</f>
        <v>0</v>
      </c>
      <c r="J195" s="99" t="s">
        <v>48</v>
      </c>
      <c r="K195" s="98"/>
      <c r="L195" s="6"/>
      <c r="M195" s="7"/>
      <c r="N195" s="84"/>
    </row>
    <row r="196" spans="3:16" ht="20.25" customHeight="1">
      <c r="C196" s="106" t="s">
        <v>106</v>
      </c>
      <c r="D196" s="106" t="s">
        <v>107</v>
      </c>
      <c r="E196" s="7">
        <v>1071.74</v>
      </c>
      <c r="F196" s="109"/>
      <c r="G196" s="91"/>
      <c r="H196" s="152"/>
      <c r="I196" s="142"/>
      <c r="J196" s="99"/>
      <c r="K196" s="143"/>
      <c r="L196" s="6"/>
      <c r="M196" s="7"/>
      <c r="N196" s="84"/>
    </row>
    <row r="197" spans="3:16" ht="20.25" customHeight="1">
      <c r="C197" s="58" t="s">
        <v>98</v>
      </c>
      <c r="D197" s="58" t="s">
        <v>99</v>
      </c>
      <c r="E197" s="7">
        <v>546</v>
      </c>
      <c r="F197" s="135"/>
      <c r="G197" s="91"/>
      <c r="H197" s="152"/>
      <c r="I197" s="142"/>
      <c r="J197" s="99"/>
      <c r="K197" s="98"/>
      <c r="L197" s="6"/>
      <c r="M197" s="7"/>
      <c r="P197" s="90"/>
    </row>
    <row r="198" spans="3:16" ht="20.25" customHeight="1">
      <c r="C198" s="58" t="s">
        <v>101</v>
      </c>
      <c r="D198" s="58" t="s">
        <v>99</v>
      </c>
      <c r="E198" s="7">
        <v>1446</v>
      </c>
      <c r="F198" s="135"/>
      <c r="G198" s="91"/>
      <c r="H198" s="152"/>
      <c r="I198" s="102"/>
      <c r="J198" s="100"/>
      <c r="K198" s="98"/>
      <c r="L198" s="80"/>
      <c r="M198" s="7"/>
    </row>
    <row r="199" spans="3:16" ht="20.25" customHeight="1">
      <c r="C199" s="58" t="s">
        <v>102</v>
      </c>
      <c r="D199" s="58" t="s">
        <v>99</v>
      </c>
      <c r="E199" s="7">
        <v>-238</v>
      </c>
      <c r="F199" s="135"/>
      <c r="G199" s="91"/>
      <c r="H199" s="152"/>
      <c r="I199" s="144"/>
      <c r="J199" s="81"/>
      <c r="K199" s="98"/>
      <c r="L199" s="80"/>
      <c r="M199" s="7"/>
    </row>
    <row r="200" spans="3:16" ht="20.25" customHeight="1">
      <c r="C200" s="58" t="s">
        <v>103</v>
      </c>
      <c r="D200" s="127" t="s">
        <v>99</v>
      </c>
      <c r="E200" s="7">
        <v>-2356</v>
      </c>
      <c r="F200" s="140"/>
      <c r="H200" s="153"/>
      <c r="I200" s="144"/>
      <c r="J200" s="145"/>
      <c r="K200" s="98"/>
      <c r="L200" s="6"/>
      <c r="M200" s="7"/>
    </row>
    <row r="201" spans="3:16" ht="20.25" customHeight="1">
      <c r="C201" s="58" t="s">
        <v>104</v>
      </c>
      <c r="D201" s="127" t="s">
        <v>99</v>
      </c>
      <c r="E201" s="7">
        <v>-2513.21</v>
      </c>
      <c r="F201" s="140"/>
      <c r="H201" s="154"/>
      <c r="I201" s="146"/>
      <c r="J201" s="147"/>
      <c r="K201" s="149"/>
      <c r="L201" s="6"/>
      <c r="M201" s="7"/>
    </row>
    <row r="202" spans="3:16" ht="19.5" customHeight="1">
      <c r="C202" s="58" t="s">
        <v>105</v>
      </c>
      <c r="D202" s="127" t="s">
        <v>99</v>
      </c>
      <c r="E202" s="7">
        <f>SUM(E196:E201)</f>
        <v>-2043.4700000000003</v>
      </c>
      <c r="F202" s="140"/>
      <c r="H202" s="154"/>
      <c r="I202" s="146"/>
      <c r="J202" s="60"/>
      <c r="K202" s="149"/>
      <c r="L202" s="6"/>
      <c r="M202" s="7"/>
    </row>
    <row r="203" spans="3:16" ht="19.5" customHeight="1">
      <c r="C203" s="58" t="s">
        <v>145</v>
      </c>
      <c r="D203" s="127" t="s">
        <v>99</v>
      </c>
      <c r="F203" s="140"/>
      <c r="H203" s="154"/>
      <c r="I203" s="146"/>
      <c r="J203" s="60"/>
      <c r="K203" s="149"/>
      <c r="L203" s="6"/>
      <c r="M203" s="7"/>
    </row>
    <row r="204" spans="3:16" ht="19.5" customHeight="1">
      <c r="C204" s="131"/>
      <c r="D204" s="107"/>
      <c r="F204" s="140"/>
      <c r="H204" s="154"/>
      <c r="I204" s="146"/>
      <c r="J204" s="60"/>
      <c r="K204" s="149"/>
      <c r="L204" s="6"/>
      <c r="M204" s="7"/>
    </row>
    <row r="205" spans="3:16" ht="19.5" customHeight="1">
      <c r="C205" s="131"/>
      <c r="D205" s="107"/>
      <c r="F205" s="140"/>
      <c r="H205" s="154">
        <f>SUM(H196:H204)</f>
        <v>0</v>
      </c>
      <c r="I205" s="146" t="s">
        <v>146</v>
      </c>
      <c r="J205" s="60"/>
      <c r="K205" s="149"/>
      <c r="L205" s="6"/>
      <c r="M205" s="7"/>
    </row>
    <row r="206" spans="3:16" ht="20.25" customHeight="1">
      <c r="C206" s="131"/>
      <c r="D206" s="107"/>
      <c r="F206" s="134"/>
      <c r="H206" s="155">
        <f>H205*F193</f>
        <v>0</v>
      </c>
      <c r="I206" s="146" t="s">
        <v>148</v>
      </c>
      <c r="J206" s="60"/>
      <c r="K206" s="149"/>
      <c r="L206" s="6"/>
      <c r="M206" s="7"/>
    </row>
    <row r="207" spans="3:16" ht="18.75" customHeight="1">
      <c r="C207" s="131"/>
      <c r="D207" s="136"/>
      <c r="E207" s="133"/>
      <c r="F207" s="135"/>
      <c r="H207" s="155">
        <v>0</v>
      </c>
      <c r="I207" s="146" t="s">
        <v>16</v>
      </c>
      <c r="J207" s="60"/>
      <c r="K207" s="149"/>
      <c r="L207" s="6"/>
      <c r="M207" s="7"/>
      <c r="N207" s="90"/>
    </row>
    <row r="208" spans="3:16" ht="18.75" customHeight="1">
      <c r="C208" s="131"/>
      <c r="D208" s="141"/>
      <c r="E208" s="133"/>
      <c r="F208" s="139"/>
      <c r="J208" s="60"/>
      <c r="K208" s="149"/>
      <c r="L208" s="6"/>
      <c r="M208" s="8"/>
    </row>
    <row r="209" spans="1:19" ht="18.75" customHeight="1">
      <c r="C209" s="133"/>
      <c r="D209" s="138"/>
      <c r="E209" s="133"/>
      <c r="F209" s="137"/>
      <c r="H209" s="155">
        <f>SUM(H205:H208)</f>
        <v>0</v>
      </c>
      <c r="I209" s="146"/>
      <c r="J209" s="60"/>
      <c r="K209" s="98"/>
      <c r="L209" s="6"/>
      <c r="M209" s="7"/>
    </row>
    <row r="210" spans="1:19" ht="18.75" customHeight="1">
      <c r="B210" s="1"/>
      <c r="C210" s="132"/>
      <c r="D210" s="133"/>
      <c r="E210" s="133"/>
      <c r="F210" s="137"/>
      <c r="H210" s="154"/>
      <c r="I210" s="146"/>
      <c r="J210" s="60"/>
      <c r="K210" s="150"/>
      <c r="L210" s="6"/>
      <c r="M210" s="7"/>
    </row>
    <row r="211" spans="1:19" ht="18.75" customHeight="1">
      <c r="B211" s="91"/>
      <c r="C211" s="132"/>
      <c r="D211" s="133"/>
      <c r="E211" s="133"/>
      <c r="F211" s="137"/>
      <c r="H211" s="154"/>
      <c r="I211" s="50"/>
      <c r="J211" s="60"/>
      <c r="L211" s="6"/>
      <c r="M211" s="7"/>
    </row>
    <row r="212" spans="1:19" ht="18.75" customHeight="1">
      <c r="B212" s="91"/>
      <c r="C212" s="132"/>
      <c r="D212" s="133"/>
      <c r="E212" s="133"/>
      <c r="F212" s="133"/>
      <c r="H212" s="154"/>
      <c r="I212" s="50"/>
      <c r="J212" s="60"/>
      <c r="K212" s="151"/>
      <c r="L212" s="6"/>
      <c r="M212" s="7"/>
    </row>
    <row r="213" spans="1:19" ht="18.75" customHeight="1">
      <c r="B213" s="91"/>
      <c r="C213" s="135"/>
      <c r="D213" s="133"/>
      <c r="E213" s="133"/>
      <c r="F213" s="133"/>
      <c r="H213" s="154"/>
      <c r="I213" s="50"/>
      <c r="J213" s="60"/>
      <c r="K213" s="1"/>
      <c r="L213" s="6"/>
      <c r="M213" s="9"/>
    </row>
    <row r="214" spans="1:19" ht="18.75" customHeight="1">
      <c r="B214" s="91"/>
      <c r="C214" s="109"/>
      <c r="D214" s="91"/>
      <c r="H214" s="154"/>
      <c r="I214" s="50"/>
      <c r="J214" s="60"/>
      <c r="K214" s="1"/>
      <c r="L214" s="6"/>
      <c r="M214" s="7"/>
    </row>
    <row r="215" spans="1:19" ht="18.75" customHeight="1">
      <c r="B215" s="91"/>
      <c r="C215" s="109"/>
      <c r="D215" s="91"/>
      <c r="H215" s="154"/>
      <c r="I215" s="50"/>
      <c r="J215" s="60"/>
      <c r="L215" s="6"/>
      <c r="M215" s="7"/>
    </row>
    <row r="216" spans="1:19" ht="18.75" customHeight="1">
      <c r="B216" s="91"/>
      <c r="C216" s="109"/>
      <c r="D216" s="91"/>
      <c r="H216" s="154"/>
      <c r="I216" s="50"/>
      <c r="J216" s="60"/>
      <c r="L216" s="6"/>
      <c r="M216" s="7"/>
    </row>
    <row r="217" spans="1:19" ht="18.75" customHeight="1">
      <c r="B217" s="91"/>
      <c r="C217" s="109"/>
      <c r="D217" s="91"/>
      <c r="H217" s="154"/>
      <c r="J217" s="50"/>
      <c r="L217" s="6"/>
      <c r="M217" s="7"/>
      <c r="P217" s="90"/>
    </row>
    <row r="218" spans="1:19" ht="18.75" customHeight="1">
      <c r="B218" s="91"/>
      <c r="C218" s="109"/>
      <c r="D218" s="91"/>
      <c r="H218" s="148"/>
      <c r="J218" s="50"/>
      <c r="K218" s="5"/>
      <c r="L218" s="6"/>
      <c r="M218" s="7"/>
    </row>
    <row r="219" spans="1:19" ht="18.75" customHeight="1">
      <c r="B219" s="91"/>
      <c r="C219" s="109"/>
      <c r="D219" s="91"/>
      <c r="J219" s="50"/>
      <c r="L219" s="5"/>
    </row>
    <row r="220" spans="1:19" ht="18.75" customHeight="1">
      <c r="B220" s="91"/>
      <c r="C220" s="109"/>
      <c r="D220" s="91"/>
      <c r="J220" s="50"/>
      <c r="L220" s="5"/>
    </row>
    <row r="221" spans="1:19" ht="18.75" customHeight="1">
      <c r="B221" s="91"/>
      <c r="C221" s="109"/>
      <c r="D221" s="91"/>
      <c r="J221" s="50"/>
      <c r="L221" s="5"/>
      <c r="N221" s="90"/>
    </row>
    <row r="222" spans="1:19" s="112" customFormat="1" ht="21.75" customHeight="1">
      <c r="A222"/>
      <c r="B222" s="91"/>
      <c r="C222" s="109"/>
      <c r="D222" s="91"/>
      <c r="E222" s="7"/>
      <c r="F222" s="7"/>
      <c r="G222" s="7"/>
      <c r="H222" s="7"/>
      <c r="I222" s="7"/>
      <c r="J222" s="50"/>
      <c r="K222" s="4"/>
      <c r="L222" s="5"/>
      <c r="M222" s="6"/>
      <c r="N222" s="90"/>
      <c r="O222" s="97"/>
      <c r="P222" s="90"/>
      <c r="Q222" s="82"/>
      <c r="R222" s="82"/>
      <c r="S222" s="82"/>
    </row>
    <row r="223" spans="1:19" s="112" customFormat="1" ht="21.75" customHeight="1">
      <c r="B223" s="91"/>
      <c r="C223" s="109"/>
      <c r="D223" s="91"/>
      <c r="E223" s="7"/>
      <c r="F223" s="7"/>
      <c r="G223" s="7"/>
      <c r="H223" s="7"/>
      <c r="I223" s="7"/>
      <c r="J223" s="50"/>
      <c r="K223" s="4"/>
      <c r="L223" s="5"/>
      <c r="M223" s="6"/>
      <c r="N223" s="90"/>
      <c r="O223" s="97"/>
      <c r="P223" s="90"/>
      <c r="Q223" s="82"/>
      <c r="R223" s="82"/>
      <c r="S223" s="82"/>
    </row>
    <row r="224" spans="1:19" s="112" customFormat="1" ht="21.75" customHeight="1">
      <c r="B224" s="13"/>
      <c r="C224" s="110"/>
      <c r="D224" s="111"/>
      <c r="E224" s="8"/>
      <c r="F224" s="8"/>
      <c r="G224" s="8"/>
      <c r="H224" s="8"/>
      <c r="I224" s="8"/>
      <c r="J224" s="50"/>
      <c r="K224" s="4"/>
      <c r="L224" s="5"/>
      <c r="M224" s="6"/>
      <c r="N224" s="90"/>
      <c r="O224" s="97"/>
      <c r="P224" s="90"/>
      <c r="Q224" s="82"/>
      <c r="R224" s="82"/>
      <c r="S224" s="82"/>
    </row>
    <row r="225" spans="1:19" s="112" customFormat="1" ht="21.75" customHeight="1">
      <c r="A225" s="1">
        <f>SUM(B210:B226)</f>
        <v>0</v>
      </c>
      <c r="B225" s="13"/>
      <c r="C225" s="100"/>
      <c r="D225" s="1"/>
      <c r="E225" s="8"/>
      <c r="F225" s="8"/>
      <c r="G225" s="8"/>
      <c r="H225" s="8"/>
      <c r="I225" s="8"/>
      <c r="J225" s="50"/>
      <c r="K225" s="4"/>
      <c r="L225" s="5"/>
      <c r="M225" s="6"/>
      <c r="N225" s="90"/>
      <c r="O225" s="97"/>
      <c r="P225" s="90"/>
      <c r="Q225" s="82"/>
      <c r="R225" s="82"/>
      <c r="S225" s="82"/>
    </row>
    <row r="226" spans="1:19" ht="18.75" customHeight="1">
      <c r="A226" s="112"/>
      <c r="B226" s="13"/>
      <c r="C226" s="113"/>
      <c r="D226" s="1"/>
      <c r="E226" s="8"/>
      <c r="F226" s="8"/>
      <c r="G226" s="8"/>
      <c r="H226" s="8"/>
      <c r="I226" s="8"/>
      <c r="J226" s="50"/>
      <c r="L226" s="5"/>
    </row>
    <row r="227" spans="1:19" ht="18.75" customHeight="1">
      <c r="B227" s="112"/>
      <c r="C227" s="114"/>
      <c r="D227" s="1"/>
      <c r="E227" s="8"/>
      <c r="F227" s="8"/>
      <c r="G227" s="8"/>
      <c r="H227" s="8"/>
      <c r="I227" s="8"/>
      <c r="J227" s="50"/>
      <c r="L227" s="5"/>
    </row>
    <row r="228" spans="1:19" ht="18.75" customHeight="1">
      <c r="C228" s="108"/>
      <c r="D228" s="91"/>
      <c r="J228" s="50"/>
      <c r="L228" s="5"/>
    </row>
    <row r="229" spans="1:19" ht="18.75" customHeight="1">
      <c r="C229" s="36"/>
      <c r="D229" s="11"/>
      <c r="J229" s="50"/>
      <c r="L229" s="5"/>
    </row>
    <row r="230" spans="1:19" ht="14.25" customHeight="1">
      <c r="B230" s="9"/>
      <c r="C230" s="36"/>
      <c r="D230" s="11"/>
      <c r="J230" s="50"/>
      <c r="L230" s="5"/>
    </row>
    <row r="231" spans="1:19" ht="14.25" customHeight="1">
      <c r="C231" s="36"/>
      <c r="D231" s="11"/>
      <c r="J231" s="50"/>
      <c r="L231" s="5"/>
    </row>
    <row r="232" spans="1:19" ht="14.25" customHeight="1">
      <c r="C232" s="36"/>
      <c r="D232" s="11"/>
      <c r="J232" s="50"/>
      <c r="L232" s="5"/>
    </row>
    <row r="233" spans="1:19" ht="14.25" customHeight="1">
      <c r="C233" s="36"/>
      <c r="D233" s="11"/>
      <c r="J233" s="50"/>
      <c r="L233" s="5"/>
    </row>
    <row r="234" spans="1:19" ht="14.25" customHeight="1">
      <c r="C234" s="36"/>
      <c r="D234" s="11"/>
      <c r="J234" s="50"/>
      <c r="L234" s="5"/>
    </row>
    <row r="235" spans="1:19" ht="14.25" customHeight="1">
      <c r="C235" s="36"/>
      <c r="D235" s="11"/>
      <c r="J235" s="50"/>
      <c r="L235" s="5"/>
    </row>
    <row r="236" spans="1:19" ht="14.25" customHeight="1">
      <c r="C236" s="36"/>
      <c r="D236" s="11"/>
      <c r="J236" s="50"/>
      <c r="L236" s="5"/>
    </row>
    <row r="237" spans="1:19" ht="14.25" customHeight="1">
      <c r="C237" s="36"/>
      <c r="D237" s="11"/>
      <c r="J237" s="50"/>
      <c r="L237" s="5"/>
    </row>
    <row r="238" spans="1:19" ht="14.25" customHeight="1">
      <c r="C238" s="36"/>
      <c r="D238" s="11"/>
      <c r="J238" s="50"/>
      <c r="L238" s="5"/>
    </row>
    <row r="239" spans="1:19" ht="14.25" customHeight="1">
      <c r="C239" s="36"/>
      <c r="D239" s="11"/>
      <c r="J239" s="50"/>
      <c r="L239" s="5"/>
    </row>
    <row r="240" spans="1:19" ht="14.25" customHeight="1">
      <c r="B240" s="8"/>
      <c r="C240" s="36"/>
      <c r="D240" s="11"/>
      <c r="J240" s="50"/>
      <c r="L240" s="5"/>
    </row>
    <row r="241" spans="2:19" ht="14.25" customHeight="1">
      <c r="C241" s="36"/>
      <c r="D241" s="11"/>
      <c r="J241" s="50"/>
      <c r="L241" s="5"/>
    </row>
    <row r="242" spans="2:19" ht="14.25" customHeight="1">
      <c r="C242" s="36"/>
      <c r="D242" s="11"/>
      <c r="J242" s="50"/>
      <c r="L242" s="5"/>
    </row>
    <row r="243" spans="2:19" ht="14.25" customHeight="1">
      <c r="C243" s="36"/>
      <c r="D243" s="11"/>
      <c r="J243" s="50"/>
      <c r="L243" s="5"/>
    </row>
    <row r="244" spans="2:19" ht="14.25" customHeight="1">
      <c r="C244" s="36"/>
      <c r="D244" s="11"/>
      <c r="J244" s="50"/>
      <c r="L244" s="5"/>
    </row>
    <row r="245" spans="2:19" ht="14.25" customHeight="1">
      <c r="C245" s="36"/>
      <c r="D245" s="11"/>
      <c r="J245" s="50"/>
      <c r="L245" s="5"/>
    </row>
    <row r="246" spans="2:19" ht="14.25" customHeight="1">
      <c r="C246" s="36"/>
      <c r="D246" s="11"/>
      <c r="J246" s="50"/>
      <c r="L246" s="5"/>
    </row>
    <row r="247" spans="2:19" ht="14.25" customHeight="1">
      <c r="C247" s="36"/>
      <c r="D247" s="11"/>
      <c r="J247" s="50"/>
      <c r="L247" s="5"/>
    </row>
    <row r="248" spans="2:19" ht="14.25" customHeight="1">
      <c r="C248" s="36"/>
      <c r="D248" s="11"/>
      <c r="J248" s="50"/>
      <c r="L248" s="5"/>
      <c r="M248" s="6">
        <f>I249*3</f>
        <v>0</v>
      </c>
    </row>
    <row r="249" spans="2:19" ht="14.25" customHeight="1">
      <c r="C249" s="36"/>
      <c r="D249" s="11"/>
      <c r="J249" s="50"/>
      <c r="L249" s="5"/>
    </row>
    <row r="250" spans="2:19" ht="14.25" customHeight="1">
      <c r="C250" s="36"/>
      <c r="D250" s="11"/>
      <c r="J250" s="50"/>
      <c r="L250" s="5"/>
    </row>
    <row r="251" spans="2:19" ht="14.25" customHeight="1">
      <c r="C251" s="36"/>
      <c r="D251" s="11"/>
      <c r="J251" s="50"/>
      <c r="L251" s="5"/>
    </row>
    <row r="252" spans="2:19" ht="14.25" customHeight="1">
      <c r="C252" s="36"/>
      <c r="D252" s="11"/>
      <c r="J252" s="50"/>
      <c r="L252" s="5"/>
    </row>
    <row r="253" spans="2:19" ht="14.25" customHeight="1">
      <c r="C253" s="36"/>
      <c r="D253" s="11"/>
      <c r="J253" s="50"/>
      <c r="L253" s="5"/>
      <c r="S253" s="93"/>
    </row>
    <row r="254" spans="2:19" ht="14.25" customHeight="1">
      <c r="B254" s="8"/>
      <c r="C254" s="36"/>
      <c r="D254" s="11"/>
      <c r="J254" s="50"/>
      <c r="L254" s="5"/>
      <c r="S254" s="93"/>
    </row>
    <row r="255" spans="2:19" ht="14.25" customHeight="1">
      <c r="C255" s="36"/>
      <c r="D255" s="11"/>
      <c r="J255" s="50"/>
      <c r="L255" s="5"/>
      <c r="S255" s="93"/>
    </row>
    <row r="256" spans="2:19" ht="14.25" customHeight="1">
      <c r="C256" s="36"/>
      <c r="D256" s="11"/>
      <c r="J256" s="50"/>
      <c r="L256" s="5"/>
      <c r="S256" s="93"/>
    </row>
    <row r="257" spans="3:19" ht="14.25" customHeight="1">
      <c r="C257" s="36"/>
      <c r="D257" s="11"/>
      <c r="J257" s="50"/>
      <c r="L257" s="5"/>
      <c r="P257" s="90"/>
      <c r="S257" s="93"/>
    </row>
    <row r="258" spans="3:19" ht="14.25" customHeight="1">
      <c r="C258" s="36"/>
      <c r="D258" s="11"/>
      <c r="J258" s="50"/>
      <c r="L258" s="5"/>
      <c r="S258" s="93"/>
    </row>
    <row r="259" spans="3:19" ht="14.25" customHeight="1">
      <c r="C259" s="36"/>
      <c r="D259" s="11"/>
      <c r="J259" s="50"/>
      <c r="L259" s="5"/>
      <c r="S259" s="93"/>
    </row>
    <row r="260" spans="3:19" ht="14.25" customHeight="1">
      <c r="C260" s="36"/>
      <c r="D260" s="11"/>
      <c r="J260" s="50"/>
      <c r="L260" s="5"/>
      <c r="S260" s="93"/>
    </row>
    <row r="261" spans="3:19" ht="14.25" customHeight="1">
      <c r="C261" s="36"/>
      <c r="D261" s="11"/>
      <c r="J261" s="50"/>
      <c r="L261" s="5"/>
      <c r="N261" s="90"/>
      <c r="S261" s="93"/>
    </row>
    <row r="262" spans="3:19" ht="14.25" customHeight="1">
      <c r="C262" s="36"/>
      <c r="D262" s="11"/>
      <c r="J262" s="50"/>
      <c r="L262" s="5"/>
      <c r="S262" s="93"/>
    </row>
    <row r="263" spans="3:19" ht="14.25" customHeight="1">
      <c r="C263" s="36"/>
      <c r="D263" s="11"/>
      <c r="J263" s="50"/>
      <c r="L263" s="5"/>
      <c r="M263" s="6">
        <f>I264*3</f>
        <v>0</v>
      </c>
      <c r="S263" s="93"/>
    </row>
    <row r="264" spans="3:19" ht="14.25" customHeight="1">
      <c r="C264" s="36"/>
      <c r="D264" s="11"/>
      <c r="J264" s="50"/>
      <c r="L264" s="5"/>
      <c r="S264" s="93"/>
    </row>
    <row r="265" spans="3:19" ht="14.25" customHeight="1">
      <c r="C265" s="36"/>
      <c r="D265" s="11"/>
      <c r="J265" s="50"/>
      <c r="L265" s="5"/>
      <c r="S265" s="93"/>
    </row>
    <row r="266" spans="3:19" ht="14.25" customHeight="1">
      <c r="C266" s="36"/>
      <c r="D266" s="11"/>
      <c r="J266" s="50"/>
      <c r="L266" s="5"/>
      <c r="S266" s="93"/>
    </row>
    <row r="267" spans="3:19" ht="14.25" customHeight="1">
      <c r="C267" s="36"/>
      <c r="D267" s="11"/>
      <c r="J267" s="50"/>
      <c r="L267" s="5"/>
      <c r="S267" s="93"/>
    </row>
    <row r="268" spans="3:19" ht="14.25" customHeight="1">
      <c r="C268" s="36"/>
      <c r="D268" s="11"/>
      <c r="J268" s="50"/>
      <c r="L268" s="5"/>
    </row>
    <row r="269" spans="3:19" ht="14.25" customHeight="1">
      <c r="C269" s="36"/>
      <c r="D269" s="11"/>
      <c r="J269" s="50"/>
      <c r="L269" s="5"/>
      <c r="S269" s="93"/>
    </row>
    <row r="270" spans="3:19" ht="14.25" customHeight="1">
      <c r="C270" s="36"/>
      <c r="D270" s="11"/>
      <c r="J270" s="50"/>
      <c r="L270" s="5"/>
      <c r="P270" s="90"/>
      <c r="S270" s="93"/>
    </row>
    <row r="271" spans="3:19" ht="14.25" customHeight="1">
      <c r="C271" s="36"/>
      <c r="D271" s="11"/>
      <c r="J271" s="50"/>
      <c r="L271" s="5"/>
      <c r="S271" s="93"/>
    </row>
    <row r="272" spans="3:19" ht="14.25" customHeight="1">
      <c r="C272" s="36"/>
      <c r="D272" s="11"/>
      <c r="J272" s="50"/>
      <c r="L272" s="5"/>
      <c r="S272" s="93"/>
    </row>
    <row r="273" spans="2:19" ht="14.25" customHeight="1">
      <c r="C273" s="36"/>
      <c r="D273" s="11"/>
      <c r="J273" s="50"/>
      <c r="L273" s="5"/>
      <c r="S273" s="93"/>
    </row>
    <row r="274" spans="2:19" ht="14.25" customHeight="1">
      <c r="C274" s="36"/>
      <c r="D274" s="11"/>
      <c r="J274" s="50"/>
      <c r="L274" s="5"/>
      <c r="N274" s="90"/>
      <c r="S274" s="93"/>
    </row>
    <row r="275" spans="2:19" ht="14.25" customHeight="1">
      <c r="C275" s="36"/>
      <c r="D275" s="11"/>
      <c r="J275" s="50"/>
      <c r="L275" s="5"/>
      <c r="S275" s="93"/>
    </row>
    <row r="276" spans="2:19" ht="14.25" customHeight="1">
      <c r="C276" s="36"/>
      <c r="D276" s="11"/>
      <c r="J276" s="50"/>
      <c r="L276" s="5"/>
      <c r="M276" s="6">
        <f>I277*3</f>
        <v>0</v>
      </c>
      <c r="S276" s="93"/>
    </row>
    <row r="277" spans="2:19" ht="14.25" customHeight="1">
      <c r="C277" s="36"/>
      <c r="D277" s="11"/>
      <c r="J277" s="50"/>
      <c r="L277" s="5"/>
      <c r="S277" s="93"/>
    </row>
    <row r="278" spans="2:19" ht="14.25" customHeight="1">
      <c r="C278" s="36"/>
      <c r="D278" s="11"/>
      <c r="J278" s="50"/>
      <c r="L278" s="5"/>
      <c r="S278" s="93"/>
    </row>
    <row r="279" spans="2:19" ht="14.25" customHeight="1">
      <c r="C279" s="36"/>
      <c r="D279" s="11"/>
      <c r="J279" s="50"/>
      <c r="L279" s="5"/>
      <c r="S279" s="93"/>
    </row>
    <row r="280" spans="2:19" ht="14.25" customHeight="1">
      <c r="C280" s="36"/>
      <c r="D280" s="11"/>
      <c r="J280" s="50"/>
      <c r="L280" s="5"/>
      <c r="M280" s="6" t="s">
        <v>17</v>
      </c>
      <c r="S280" s="93"/>
    </row>
    <row r="281" spans="2:19" ht="14.25" customHeight="1">
      <c r="C281" s="36"/>
      <c r="D281" s="11"/>
      <c r="J281" s="50"/>
      <c r="L281" s="5"/>
      <c r="M281" s="6">
        <f>SUM(M222:M280)</f>
        <v>0</v>
      </c>
      <c r="S281" s="93"/>
    </row>
    <row r="282" spans="2:19" ht="14.25" customHeight="1">
      <c r="C282" s="36"/>
      <c r="D282" s="11"/>
      <c r="J282" s="50"/>
      <c r="L282" s="5"/>
      <c r="S282" s="93"/>
    </row>
    <row r="283" spans="2:19" ht="14.25" customHeight="1">
      <c r="C283" s="36"/>
      <c r="D283" s="11"/>
      <c r="J283" s="50"/>
      <c r="L283" s="5"/>
      <c r="S283" s="93"/>
    </row>
    <row r="284" spans="2:19" ht="14.25" customHeight="1">
      <c r="C284" s="36"/>
      <c r="D284" s="11"/>
      <c r="J284" s="50"/>
      <c r="L284" s="5"/>
      <c r="S284" s="93"/>
    </row>
    <row r="285" spans="2:19" ht="14.25" customHeight="1">
      <c r="B285" s="11"/>
      <c r="C285" s="36"/>
      <c r="D285" s="11"/>
      <c r="J285" s="50"/>
      <c r="L285" s="5"/>
      <c r="S285" s="93"/>
    </row>
    <row r="286" spans="2:19" ht="14.25" customHeight="1">
      <c r="B286" s="11"/>
      <c r="C286" s="36"/>
      <c r="D286" s="11"/>
      <c r="J286" s="50"/>
      <c r="L286" s="5"/>
      <c r="S286" s="93"/>
    </row>
    <row r="287" spans="2:19" ht="14.25" customHeight="1">
      <c r="B287" s="11"/>
      <c r="C287" s="36"/>
      <c r="D287" s="36"/>
      <c r="J287" s="50"/>
      <c r="L287" s="5"/>
      <c r="S287" s="93"/>
    </row>
    <row r="288" spans="2:19" ht="14.25" customHeight="1">
      <c r="B288" s="11"/>
      <c r="C288" s="36"/>
      <c r="D288" s="11"/>
      <c r="J288" s="50"/>
      <c r="L288" s="5"/>
      <c r="S288" s="93"/>
    </row>
    <row r="289" spans="1:19" ht="14.25" customHeight="1">
      <c r="B289" s="11"/>
      <c r="C289" s="36"/>
      <c r="D289" s="11"/>
      <c r="J289" s="50"/>
      <c r="L289" s="5"/>
      <c r="S289" s="93"/>
    </row>
    <row r="290" spans="1:19" ht="14.25" customHeight="1">
      <c r="B290" s="11"/>
      <c r="C290" s="36"/>
      <c r="D290" s="11"/>
      <c r="J290" s="50"/>
      <c r="L290" s="5"/>
      <c r="S290" s="93"/>
    </row>
    <row r="291" spans="1:19" ht="14.25" customHeight="1">
      <c r="B291" s="11"/>
      <c r="C291" s="36"/>
      <c r="D291" s="11"/>
      <c r="J291" s="50"/>
      <c r="L291" s="5"/>
      <c r="S291" s="93"/>
    </row>
    <row r="292" spans="1:19" ht="14.25" customHeight="1">
      <c r="B292" s="11"/>
      <c r="C292" s="36"/>
      <c r="D292" s="67"/>
      <c r="J292" s="50"/>
      <c r="L292" s="5"/>
      <c r="S292" s="93"/>
    </row>
    <row r="293" spans="1:19" ht="14.25" customHeight="1">
      <c r="B293" s="12"/>
      <c r="C293" s="36"/>
      <c r="D293" s="11"/>
      <c r="J293" s="50"/>
      <c r="L293" s="5"/>
      <c r="S293" s="93"/>
    </row>
    <row r="294" spans="1:19" ht="14.25" customHeight="1">
      <c r="B294" s="13"/>
      <c r="C294" s="36"/>
      <c r="D294" s="11"/>
      <c r="J294" s="50"/>
      <c r="L294" s="5"/>
      <c r="S294" s="93"/>
    </row>
    <row r="295" spans="1:19" ht="14.25" customHeight="1">
      <c r="A295" s="33"/>
      <c r="B295" s="11"/>
      <c r="C295" s="36"/>
      <c r="D295" s="11"/>
      <c r="J295" s="50"/>
      <c r="K295" s="14"/>
      <c r="L295" s="15"/>
      <c r="M295" s="16"/>
      <c r="S295" s="93"/>
    </row>
    <row r="296" spans="1:19" ht="14.25" customHeight="1">
      <c r="A296" s="7"/>
      <c r="B296" s="12"/>
      <c r="C296" s="36"/>
      <c r="D296" s="11"/>
      <c r="I296" s="27"/>
      <c r="J296" s="50"/>
      <c r="K296" s="14"/>
      <c r="L296" s="15"/>
      <c r="M296" s="16"/>
      <c r="S296" s="93"/>
    </row>
    <row r="297" spans="1:19" ht="14.25" customHeight="1">
      <c r="A297" s="7"/>
      <c r="B297" s="12"/>
      <c r="C297" s="36"/>
      <c r="D297" s="11"/>
      <c r="E297" s="27"/>
      <c r="G297" s="27"/>
      <c r="H297" s="27"/>
      <c r="I297" s="29"/>
      <c r="J297" s="50"/>
      <c r="K297" s="14"/>
      <c r="L297" s="15"/>
      <c r="M297" s="16"/>
      <c r="S297" s="93"/>
    </row>
    <row r="298" spans="1:19" ht="14.25" customHeight="1">
      <c r="B298" s="12"/>
      <c r="C298" s="36"/>
      <c r="D298" s="36"/>
      <c r="E298" s="27"/>
      <c r="F298" s="27"/>
      <c r="G298" s="27"/>
      <c r="H298" s="27"/>
      <c r="I298" s="29"/>
      <c r="J298" s="50"/>
      <c r="K298" s="14"/>
      <c r="L298" s="15"/>
      <c r="M298" s="16"/>
      <c r="S298" s="93"/>
    </row>
    <row r="299" spans="1:19" ht="14.25" customHeight="1">
      <c r="B299" s="12"/>
      <c r="C299" s="36"/>
      <c r="D299" s="36"/>
      <c r="E299" s="27"/>
      <c r="F299" s="27"/>
      <c r="G299" s="27"/>
      <c r="H299" s="27"/>
      <c r="I299" s="29"/>
      <c r="J299" s="50"/>
      <c r="K299" s="14"/>
      <c r="L299" s="15"/>
      <c r="M299" s="16"/>
      <c r="S299" s="93"/>
    </row>
    <row r="300" spans="1:19" ht="14.25" customHeight="1">
      <c r="B300" s="12"/>
      <c r="C300" s="36"/>
      <c r="D300" s="36"/>
      <c r="E300" s="27"/>
      <c r="F300" s="27"/>
      <c r="G300" s="27"/>
      <c r="H300" s="27"/>
      <c r="I300" s="29"/>
      <c r="J300" s="50"/>
      <c r="K300" s="14"/>
      <c r="L300" s="15"/>
      <c r="M300" s="16"/>
      <c r="S300" s="93"/>
    </row>
    <row r="301" spans="1:19" ht="14.25" customHeight="1">
      <c r="B301" s="12"/>
      <c r="C301" s="36"/>
      <c r="D301" s="36"/>
      <c r="E301" s="27"/>
      <c r="F301" s="27"/>
      <c r="G301" s="27"/>
      <c r="H301" s="27"/>
      <c r="I301" s="29"/>
      <c r="J301" s="50"/>
      <c r="K301" s="14"/>
      <c r="L301" s="15"/>
      <c r="M301" s="16"/>
      <c r="P301" s="94"/>
      <c r="S301" s="93"/>
    </row>
    <row r="302" spans="1:19" ht="14.25" customHeight="1">
      <c r="B302" s="12"/>
      <c r="C302" s="36"/>
      <c r="D302" s="36"/>
      <c r="E302" s="27"/>
      <c r="F302" s="27"/>
      <c r="G302" s="27"/>
      <c r="H302" s="27"/>
      <c r="I302" s="29"/>
      <c r="J302" s="50"/>
      <c r="K302" s="14"/>
      <c r="L302" s="15"/>
      <c r="M302" s="16"/>
      <c r="P302" s="94"/>
      <c r="S302" s="93"/>
    </row>
    <row r="303" spans="1:19" ht="14.25" customHeight="1">
      <c r="B303" s="12"/>
      <c r="C303" s="36"/>
      <c r="D303" s="36"/>
      <c r="E303" s="27"/>
      <c r="F303" s="27"/>
      <c r="G303" s="27"/>
      <c r="H303" s="27"/>
      <c r="I303" s="29"/>
      <c r="J303" s="50"/>
      <c r="K303" s="14"/>
      <c r="L303" s="15"/>
      <c r="M303" s="16"/>
      <c r="P303" s="94"/>
      <c r="S303" s="93"/>
    </row>
    <row r="304" spans="1:19" ht="14.25" customHeight="1">
      <c r="B304" s="12"/>
      <c r="C304" s="36"/>
      <c r="D304" s="36"/>
      <c r="E304" s="27"/>
      <c r="F304" s="27"/>
      <c r="G304" s="27"/>
      <c r="H304" s="27"/>
      <c r="I304" s="29"/>
      <c r="J304" s="50"/>
      <c r="K304" s="14"/>
      <c r="L304" s="15"/>
      <c r="M304" s="16"/>
      <c r="S304" s="93"/>
    </row>
    <row r="305" spans="2:19" ht="18" customHeight="1">
      <c r="B305" s="12"/>
      <c r="C305" s="36"/>
      <c r="D305" s="36"/>
      <c r="E305" s="27"/>
      <c r="F305" s="27"/>
      <c r="G305" s="27"/>
      <c r="H305" s="27"/>
      <c r="I305" s="32"/>
      <c r="J305" s="50"/>
      <c r="K305" s="14"/>
      <c r="L305" s="15"/>
      <c r="M305" s="16"/>
      <c r="N305" s="94"/>
      <c r="S305" s="93"/>
    </row>
    <row r="306" spans="2:19" ht="18" customHeight="1">
      <c r="B306" s="12"/>
      <c r="C306" s="36"/>
      <c r="D306" s="36"/>
      <c r="E306" s="27"/>
      <c r="F306" s="27"/>
      <c r="G306" s="27"/>
      <c r="H306" s="27"/>
      <c r="I306" s="32"/>
      <c r="J306" s="50"/>
      <c r="K306" s="14"/>
      <c r="L306" s="15"/>
      <c r="M306" s="16"/>
      <c r="N306" s="94"/>
      <c r="S306" s="93"/>
    </row>
    <row r="307" spans="2:19" ht="18" customHeight="1">
      <c r="B307" s="13"/>
      <c r="C307" s="36"/>
      <c r="D307" s="36"/>
      <c r="E307" s="27"/>
      <c r="F307" s="27"/>
      <c r="G307" s="27"/>
      <c r="H307" s="27"/>
      <c r="I307" s="29"/>
      <c r="J307" s="50"/>
      <c r="K307" s="14"/>
      <c r="L307" s="15"/>
      <c r="M307" s="16"/>
      <c r="N307" s="94"/>
      <c r="S307" s="93"/>
    </row>
    <row r="308" spans="2:19" ht="18" customHeight="1">
      <c r="B308" s="12"/>
      <c r="C308" s="36"/>
      <c r="D308" s="36"/>
      <c r="E308" s="27"/>
      <c r="F308" s="27"/>
      <c r="G308" s="27"/>
      <c r="H308" s="27"/>
      <c r="I308" s="29"/>
      <c r="J308" s="50"/>
      <c r="K308" s="14"/>
      <c r="L308" s="15"/>
      <c r="M308" s="16"/>
      <c r="S308" s="93"/>
    </row>
    <row r="309" spans="2:19" ht="18" customHeight="1">
      <c r="B309" s="12"/>
      <c r="C309" s="36"/>
      <c r="D309" s="36"/>
      <c r="E309" s="27"/>
      <c r="F309" s="27"/>
      <c r="G309" s="27"/>
      <c r="H309" s="27"/>
      <c r="I309" s="29"/>
      <c r="J309" s="50"/>
      <c r="K309" s="14"/>
      <c r="L309" s="15"/>
      <c r="M309" s="16"/>
      <c r="S309" s="93"/>
    </row>
    <row r="310" spans="2:19" ht="18" customHeight="1">
      <c r="B310" s="12"/>
      <c r="C310" s="36"/>
      <c r="D310" s="36"/>
      <c r="E310" s="27"/>
      <c r="F310" s="27"/>
      <c r="G310" s="27"/>
      <c r="H310" s="27"/>
      <c r="I310" s="29"/>
      <c r="J310" s="50"/>
      <c r="K310" s="15"/>
      <c r="L310" s="16"/>
      <c r="M310" s="17"/>
      <c r="S310" s="93"/>
    </row>
    <row r="311" spans="2:19" ht="18" customHeight="1">
      <c r="B311" s="12"/>
      <c r="C311" s="36"/>
      <c r="D311" s="36"/>
      <c r="E311" s="27"/>
      <c r="F311" s="27"/>
      <c r="G311" s="27"/>
      <c r="H311" s="27"/>
      <c r="I311" s="29"/>
      <c r="J311" s="51"/>
      <c r="K311" s="14"/>
      <c r="L311" s="15"/>
      <c r="M311" s="16"/>
      <c r="S311" s="93"/>
    </row>
    <row r="312" spans="2:19" ht="18" customHeight="1">
      <c r="B312" s="12"/>
      <c r="C312" s="36"/>
      <c r="D312" s="36"/>
      <c r="E312" s="27"/>
      <c r="F312" s="27"/>
      <c r="G312" s="27"/>
      <c r="H312" s="27"/>
      <c r="I312" s="32"/>
      <c r="J312" s="50"/>
      <c r="K312" s="14"/>
      <c r="L312" s="15"/>
      <c r="M312" s="16"/>
      <c r="S312" s="93"/>
    </row>
    <row r="313" spans="2:19" ht="18" customHeight="1">
      <c r="B313" s="12"/>
      <c r="C313" s="36"/>
      <c r="D313" s="36"/>
      <c r="E313" s="27"/>
      <c r="F313" s="27"/>
      <c r="G313" s="27"/>
      <c r="H313" s="27"/>
      <c r="I313" s="29"/>
      <c r="J313" s="50"/>
      <c r="K313" s="14"/>
      <c r="L313" s="15"/>
      <c r="M313" s="16"/>
      <c r="S313" s="93"/>
    </row>
    <row r="314" spans="2:19" ht="18" customHeight="1">
      <c r="B314" s="12"/>
      <c r="C314" s="36"/>
      <c r="D314" s="36"/>
      <c r="E314" s="27"/>
      <c r="F314" s="27"/>
      <c r="G314" s="27"/>
      <c r="H314" s="27"/>
      <c r="I314" s="29"/>
      <c r="J314" s="50"/>
      <c r="K314" s="14"/>
      <c r="L314" s="15"/>
      <c r="M314" s="16"/>
      <c r="S314" s="93"/>
    </row>
    <row r="315" spans="2:19" ht="18" customHeight="1">
      <c r="B315" s="11"/>
      <c r="C315" s="36"/>
      <c r="D315" s="36"/>
      <c r="E315" s="27"/>
      <c r="F315" s="27"/>
      <c r="G315" s="27"/>
      <c r="H315" s="27"/>
      <c r="I315" s="29"/>
      <c r="J315" s="50"/>
      <c r="K315" s="14"/>
      <c r="L315" s="15"/>
      <c r="M315" s="16"/>
      <c r="S315" s="93"/>
    </row>
    <row r="316" spans="2:19" ht="18" customHeight="1">
      <c r="B316" s="11"/>
      <c r="C316" s="36"/>
      <c r="D316" s="36"/>
      <c r="E316" s="27"/>
      <c r="F316" s="27"/>
      <c r="G316" s="27"/>
      <c r="H316" s="27"/>
      <c r="I316" s="29"/>
      <c r="J316" s="50"/>
      <c r="K316" s="14"/>
      <c r="L316" s="15"/>
      <c r="M316" s="16"/>
      <c r="S316" s="93"/>
    </row>
    <row r="317" spans="2:19" ht="18" customHeight="1">
      <c r="B317" s="11"/>
      <c r="C317" s="36"/>
      <c r="D317" s="11"/>
      <c r="E317" s="27"/>
      <c r="F317" s="27"/>
      <c r="G317" s="27"/>
      <c r="H317" s="27"/>
      <c r="I317" s="29"/>
      <c r="J317" s="50"/>
      <c r="K317" s="14"/>
      <c r="L317" s="15"/>
      <c r="M317" s="16"/>
      <c r="S317" s="93"/>
    </row>
    <row r="318" spans="2:19" ht="18" customHeight="1">
      <c r="B318" s="12"/>
      <c r="C318" s="36"/>
      <c r="D318" s="11"/>
      <c r="E318" s="27"/>
      <c r="F318" s="27"/>
      <c r="G318" s="27"/>
      <c r="H318" s="27"/>
      <c r="I318" s="29"/>
      <c r="J318" s="50"/>
      <c r="K318" s="14"/>
      <c r="L318" s="15"/>
      <c r="M318" s="16"/>
      <c r="S318" s="93"/>
    </row>
    <row r="319" spans="2:19" ht="18" customHeight="1">
      <c r="B319" s="11"/>
      <c r="C319" s="36"/>
      <c r="D319" s="11"/>
      <c r="E319" s="27"/>
      <c r="F319" s="27"/>
      <c r="G319" s="27"/>
      <c r="H319" s="27"/>
      <c r="I319" s="29"/>
      <c r="J319" s="50"/>
      <c r="K319" s="14"/>
      <c r="L319" s="15"/>
      <c r="M319" s="16"/>
      <c r="S319" s="93"/>
    </row>
    <row r="320" spans="2:19" ht="18" customHeight="1">
      <c r="B320" s="12"/>
      <c r="C320" s="36"/>
      <c r="D320" s="36"/>
      <c r="E320" s="27"/>
      <c r="F320" s="27"/>
      <c r="G320" s="27"/>
      <c r="H320" s="27"/>
      <c r="I320" s="29"/>
      <c r="J320" s="50"/>
      <c r="K320" s="14"/>
      <c r="L320" s="15"/>
      <c r="M320" s="16"/>
      <c r="S320" s="93"/>
    </row>
    <row r="321" spans="2:19" ht="18" customHeight="1">
      <c r="B321" s="12"/>
      <c r="C321" s="36"/>
      <c r="D321" s="36"/>
      <c r="E321" s="27"/>
      <c r="F321" s="27"/>
      <c r="G321" s="27"/>
      <c r="H321" s="27"/>
      <c r="I321" s="29"/>
      <c r="J321" s="50"/>
      <c r="K321" s="14"/>
      <c r="L321" s="15"/>
      <c r="M321" s="16"/>
      <c r="S321" s="93"/>
    </row>
    <row r="322" spans="2:19" ht="18" customHeight="1">
      <c r="B322" s="12"/>
      <c r="C322" s="36"/>
      <c r="D322" s="36"/>
      <c r="E322" s="27"/>
      <c r="F322" s="27"/>
      <c r="G322" s="27"/>
      <c r="H322" s="27"/>
      <c r="I322" s="29"/>
      <c r="J322" s="50"/>
      <c r="K322" s="14"/>
      <c r="L322" s="15"/>
      <c r="M322" s="16"/>
      <c r="S322" s="93"/>
    </row>
    <row r="323" spans="2:19" ht="18" customHeight="1">
      <c r="B323" s="12"/>
      <c r="C323" s="36"/>
      <c r="D323" s="36"/>
      <c r="E323" s="27"/>
      <c r="F323" s="27"/>
      <c r="G323" s="27"/>
      <c r="H323" s="27"/>
      <c r="I323" s="29"/>
      <c r="J323" s="50"/>
      <c r="K323" s="14"/>
      <c r="L323" s="15"/>
      <c r="M323" s="16"/>
      <c r="S323" s="93"/>
    </row>
    <row r="324" spans="2:19" ht="18" customHeight="1">
      <c r="B324" s="12"/>
      <c r="C324" s="36"/>
      <c r="D324" s="36"/>
      <c r="E324" s="27"/>
      <c r="F324" s="27"/>
      <c r="G324" s="27"/>
      <c r="H324" s="27"/>
      <c r="I324" s="29">
        <f>5939.3*1.33</f>
        <v>7899.2690000000002</v>
      </c>
      <c r="J324" s="50"/>
      <c r="K324" s="14"/>
      <c r="L324" s="15"/>
      <c r="M324" s="16"/>
      <c r="S324" s="93"/>
    </row>
    <row r="325" spans="2:19" ht="18" customHeight="1">
      <c r="B325" s="21"/>
      <c r="C325" s="36"/>
      <c r="D325" s="36" t="s">
        <v>110</v>
      </c>
      <c r="E325" s="27"/>
      <c r="F325" s="68">
        <f>L182</f>
        <v>319280.56759999995</v>
      </c>
      <c r="G325" s="27"/>
      <c r="H325" s="27"/>
      <c r="I325" s="30"/>
      <c r="J325" s="25"/>
      <c r="K325" s="14"/>
      <c r="L325" s="15"/>
      <c r="M325" s="16"/>
      <c r="S325" s="93"/>
    </row>
    <row r="326" spans="2:19" ht="18" customHeight="1">
      <c r="B326" s="21"/>
      <c r="C326" s="36"/>
      <c r="D326" s="36"/>
      <c r="E326" s="21"/>
      <c r="F326" s="27"/>
      <c r="G326" s="31"/>
      <c r="H326" s="31"/>
      <c r="I326" s="30"/>
      <c r="J326" s="25"/>
      <c r="L326" s="3"/>
      <c r="S326" s="93"/>
    </row>
    <row r="327" spans="2:19" ht="18" customHeight="1">
      <c r="B327" s="21"/>
      <c r="C327" s="21"/>
      <c r="D327" s="64" t="s">
        <v>119</v>
      </c>
      <c r="E327" s="21"/>
      <c r="F327" s="48">
        <f>D189*12</f>
        <v>29025.506145454543</v>
      </c>
      <c r="G327" s="31"/>
      <c r="H327" s="31"/>
      <c r="I327" s="30"/>
      <c r="J327" s="25"/>
      <c r="L327" s="3"/>
      <c r="S327" s="93"/>
    </row>
    <row r="328" spans="2:19" ht="18" customHeight="1">
      <c r="B328" s="21"/>
      <c r="C328" s="21"/>
      <c r="D328" s="62" t="s">
        <v>13</v>
      </c>
      <c r="E328" s="21"/>
      <c r="F328" s="69">
        <f>F327/C123</f>
        <v>1.1610202458181818</v>
      </c>
      <c r="G328" s="31"/>
      <c r="H328" s="31"/>
      <c r="I328" s="30"/>
      <c r="J328" s="25"/>
      <c r="L328" s="3"/>
      <c r="S328" s="93"/>
    </row>
    <row r="329" spans="2:19" ht="18" customHeight="1">
      <c r="B329" s="12"/>
      <c r="C329" s="21"/>
      <c r="D329" s="62" t="s">
        <v>122</v>
      </c>
      <c r="E329" s="21"/>
      <c r="F329" s="48">
        <f>H136</f>
        <v>31761.305</v>
      </c>
      <c r="G329" s="31"/>
      <c r="H329" s="31"/>
      <c r="I329" s="29"/>
      <c r="J329" s="50"/>
      <c r="L329" s="3"/>
      <c r="S329" s="93"/>
    </row>
    <row r="330" spans="2:19" ht="18" customHeight="1">
      <c r="B330" s="12"/>
      <c r="C330" s="21"/>
      <c r="D330" s="62" t="s">
        <v>123</v>
      </c>
      <c r="E330" s="27"/>
      <c r="F330" s="61">
        <f>J136</f>
        <v>1.2704522</v>
      </c>
      <c r="G330" s="27"/>
      <c r="H330" s="27"/>
      <c r="I330" s="29"/>
      <c r="J330" s="50"/>
      <c r="K330" s="14"/>
      <c r="L330" s="15"/>
      <c r="M330" s="16"/>
      <c r="S330" s="93"/>
    </row>
    <row r="331" spans="2:19" ht="18" customHeight="1" thickBot="1">
      <c r="B331" s="12"/>
      <c r="C331" s="65" t="s">
        <v>121</v>
      </c>
      <c r="D331" s="27"/>
      <c r="E331" s="27"/>
      <c r="F331" s="27"/>
      <c r="G331" s="27"/>
      <c r="H331" s="27" t="s">
        <v>109</v>
      </c>
      <c r="I331" s="29"/>
      <c r="J331" s="50"/>
      <c r="K331" s="14"/>
      <c r="L331" s="15"/>
      <c r="M331" s="16"/>
      <c r="S331" s="93"/>
    </row>
    <row r="332" spans="2:19" ht="18" customHeight="1" thickBot="1">
      <c r="B332" s="12"/>
      <c r="C332" s="36"/>
      <c r="D332" s="27"/>
      <c r="E332" s="59" t="s">
        <v>108</v>
      </c>
      <c r="F332" s="27"/>
      <c r="G332" s="27"/>
      <c r="H332" s="29"/>
      <c r="I332" s="29"/>
      <c r="J332" s="50"/>
      <c r="K332" s="14"/>
      <c r="L332" s="15"/>
      <c r="M332" s="16"/>
      <c r="S332" s="93"/>
    </row>
    <row r="333" spans="2:19" ht="18" customHeight="1" thickBot="1">
      <c r="B333" s="12"/>
      <c r="E333" s="57" t="s">
        <v>100</v>
      </c>
      <c r="F333" s="27"/>
      <c r="G333" s="27"/>
      <c r="H333" s="29">
        <v>333.14</v>
      </c>
      <c r="I333" s="29"/>
      <c r="J333" s="50"/>
      <c r="K333" s="14" t="s">
        <v>116</v>
      </c>
      <c r="L333" s="15">
        <v>9135</v>
      </c>
      <c r="M333" s="16"/>
      <c r="S333" s="93"/>
    </row>
    <row r="334" spans="2:19" ht="18" customHeight="1" thickBot="1">
      <c r="B334" s="12"/>
      <c r="E334" s="57" t="s">
        <v>100</v>
      </c>
      <c r="F334" s="27"/>
      <c r="G334" s="27"/>
      <c r="H334" s="29">
        <v>2408</v>
      </c>
      <c r="I334" s="29"/>
      <c r="J334" s="50"/>
      <c r="K334" s="14" t="s">
        <v>115</v>
      </c>
      <c r="L334" s="15">
        <v>9198</v>
      </c>
      <c r="M334" s="16">
        <f>L333-L334</f>
        <v>-63</v>
      </c>
      <c r="P334" s="85" t="s">
        <v>89</v>
      </c>
      <c r="S334" s="93"/>
    </row>
    <row r="335" spans="2:19" ht="18" customHeight="1" thickBot="1">
      <c r="B335" s="11"/>
      <c r="E335" s="57" t="s">
        <v>100</v>
      </c>
      <c r="F335" s="27"/>
      <c r="G335" s="27"/>
      <c r="H335" s="29">
        <v>-292</v>
      </c>
      <c r="I335" s="29"/>
      <c r="J335" s="50"/>
      <c r="K335" s="14" t="s">
        <v>114</v>
      </c>
      <c r="L335" s="15">
        <v>9198</v>
      </c>
      <c r="M335" s="16">
        <f>L335-L334</f>
        <v>0</v>
      </c>
      <c r="S335" s="93"/>
    </row>
    <row r="336" spans="2:19" ht="18" customHeight="1" thickBot="1">
      <c r="B336" s="12"/>
      <c r="E336" s="57" t="s">
        <v>100</v>
      </c>
      <c r="F336" s="27"/>
      <c r="G336" s="27"/>
      <c r="H336" s="29">
        <v>864</v>
      </c>
      <c r="I336" s="29"/>
      <c r="K336" s="14"/>
      <c r="L336" s="15"/>
      <c r="M336" s="16"/>
      <c r="S336" s="93"/>
    </row>
    <row r="337" spans="2:19" ht="18" customHeight="1" thickBot="1">
      <c r="B337" s="12"/>
      <c r="E337" s="57" t="s">
        <v>100</v>
      </c>
      <c r="F337" s="27"/>
      <c r="G337" s="27"/>
      <c r="H337" s="29">
        <v>-36</v>
      </c>
      <c r="I337" s="29"/>
      <c r="J337" s="50" t="s">
        <v>113</v>
      </c>
      <c r="K337" s="14"/>
      <c r="L337" s="15" t="s">
        <v>110</v>
      </c>
      <c r="M337" s="16">
        <f>SUM(M334:M336)</f>
        <v>-63</v>
      </c>
      <c r="S337" s="93"/>
    </row>
    <row r="338" spans="2:19" ht="18" customHeight="1">
      <c r="E338" s="58" t="s">
        <v>100</v>
      </c>
      <c r="F338" s="27"/>
      <c r="G338" s="27"/>
      <c r="H338" s="29">
        <v>-905</v>
      </c>
      <c r="I338" s="29"/>
      <c r="J338" s="50" t="s">
        <v>112</v>
      </c>
      <c r="K338" s="60">
        <v>12.5</v>
      </c>
      <c r="L338" s="15" t="s">
        <v>111</v>
      </c>
      <c r="M338" s="16">
        <f>K338*M337</f>
        <v>-787.5</v>
      </c>
      <c r="N338" s="85" t="s">
        <v>89</v>
      </c>
      <c r="S338" s="93"/>
    </row>
    <row r="339" spans="2:19" ht="18" customHeight="1">
      <c r="E339" s="27"/>
      <c r="F339" s="27"/>
      <c r="G339" s="27"/>
      <c r="H339" s="29">
        <f>SUM(H333:H338)</f>
        <v>2372.14</v>
      </c>
      <c r="I339" s="29"/>
      <c r="J339" s="50"/>
      <c r="K339" s="60">
        <v>3</v>
      </c>
      <c r="L339" s="15" t="s">
        <v>112</v>
      </c>
      <c r="M339" s="16">
        <f>-39*K339</f>
        <v>-117</v>
      </c>
      <c r="S339" s="93"/>
    </row>
    <row r="340" spans="2:19" ht="18" customHeight="1">
      <c r="C340" s="36"/>
      <c r="D340" s="27"/>
      <c r="E340" s="27"/>
      <c r="F340" s="27"/>
      <c r="G340" s="27"/>
      <c r="I340" s="29"/>
      <c r="J340" s="50"/>
      <c r="K340" s="60"/>
      <c r="L340" s="15" t="s">
        <v>2</v>
      </c>
      <c r="M340" s="16">
        <f>SUM(M338:M339)</f>
        <v>-904.5</v>
      </c>
      <c r="S340" s="93"/>
    </row>
    <row r="341" spans="2:19" ht="18" customHeight="1">
      <c r="C341" s="56"/>
      <c r="D341" s="27"/>
      <c r="E341" s="27"/>
      <c r="F341" s="27"/>
      <c r="G341" s="27"/>
      <c r="H341" s="27"/>
      <c r="I341" s="29"/>
      <c r="J341" s="50"/>
      <c r="K341" s="14"/>
      <c r="L341" s="15"/>
      <c r="M341" s="16"/>
      <c r="S341" s="93"/>
    </row>
    <row r="342" spans="2:19" ht="18" customHeight="1">
      <c r="B342" s="54"/>
      <c r="C342" s="56"/>
      <c r="D342" s="27"/>
      <c r="E342" s="27"/>
      <c r="F342" s="27"/>
      <c r="G342" s="27"/>
      <c r="H342" s="27"/>
      <c r="I342" s="29"/>
      <c r="J342" s="50"/>
      <c r="K342" s="14"/>
      <c r="L342" s="15"/>
      <c r="M342" s="16"/>
      <c r="P342" s="85" t="s">
        <v>90</v>
      </c>
      <c r="S342" s="93"/>
    </row>
    <row r="343" spans="2:19" ht="18" customHeight="1">
      <c r="B343" s="54"/>
      <c r="C343" s="52"/>
      <c r="D343" s="27"/>
      <c r="E343" s="27"/>
      <c r="F343" s="27"/>
      <c r="G343" s="27"/>
      <c r="H343" s="27"/>
      <c r="I343" s="29"/>
      <c r="J343" s="50"/>
      <c r="K343" s="14"/>
      <c r="L343" s="15"/>
      <c r="M343" s="16"/>
      <c r="S343" s="93"/>
    </row>
    <row r="344" spans="2:19" ht="18" customHeight="1">
      <c r="B344" s="54"/>
      <c r="C344" s="53"/>
      <c r="D344" s="27"/>
      <c r="E344" s="27"/>
      <c r="F344" s="27"/>
      <c r="G344" s="27"/>
      <c r="H344" s="27"/>
      <c r="I344" s="29"/>
      <c r="J344" s="50" t="s">
        <v>93</v>
      </c>
      <c r="K344" s="14"/>
      <c r="L344" s="15"/>
      <c r="M344" s="16"/>
      <c r="S344" s="93"/>
    </row>
    <row r="345" spans="2:19" ht="18" customHeight="1">
      <c r="B345" s="12"/>
      <c r="C345" s="53"/>
      <c r="D345" s="27"/>
      <c r="E345" s="27"/>
      <c r="F345" s="27"/>
      <c r="G345" s="27"/>
      <c r="H345" s="27"/>
      <c r="I345" s="29"/>
      <c r="J345" s="14"/>
      <c r="K345" s="14"/>
      <c r="L345" s="15"/>
      <c r="M345" s="16"/>
      <c r="S345" s="93"/>
    </row>
    <row r="346" spans="2:19" ht="18" customHeight="1">
      <c r="B346" s="12"/>
      <c r="C346" s="53"/>
      <c r="D346" s="27"/>
      <c r="E346" s="27"/>
      <c r="F346" s="27"/>
      <c r="G346" s="27"/>
      <c r="H346" s="27"/>
      <c r="I346" s="29"/>
      <c r="J346" s="14"/>
      <c r="K346" s="14"/>
      <c r="L346" s="15"/>
      <c r="M346" s="16"/>
      <c r="N346" s="85" t="s">
        <v>90</v>
      </c>
      <c r="S346" s="93"/>
    </row>
    <row r="347" spans="2:19" ht="18" customHeight="1">
      <c r="B347" s="12"/>
      <c r="C347" s="55"/>
      <c r="D347" s="27"/>
      <c r="E347" s="27"/>
      <c r="F347" s="27"/>
      <c r="G347" s="27"/>
      <c r="H347" s="27"/>
      <c r="I347" s="29"/>
      <c r="J347" s="14"/>
      <c r="K347" s="14"/>
      <c r="L347" s="15"/>
      <c r="M347" s="16"/>
      <c r="S347" s="93"/>
    </row>
    <row r="348" spans="2:19" ht="18" customHeight="1">
      <c r="B348" s="12"/>
      <c r="C348" s="27"/>
      <c r="D348" s="27"/>
      <c r="E348" s="27"/>
      <c r="F348" s="27"/>
      <c r="G348" s="27"/>
      <c r="H348" s="27"/>
      <c r="I348" s="29"/>
      <c r="J348" s="14"/>
      <c r="K348" s="14"/>
      <c r="L348" s="15"/>
      <c r="M348" s="16"/>
      <c r="S348" s="93"/>
    </row>
    <row r="349" spans="2:19" ht="18" customHeight="1">
      <c r="B349" s="12"/>
      <c r="C349" s="27"/>
      <c r="D349" s="27"/>
      <c r="E349" s="27"/>
      <c r="F349" s="27"/>
      <c r="G349" s="27"/>
      <c r="H349" s="27"/>
      <c r="I349" s="29"/>
      <c r="J349" s="14"/>
      <c r="K349" s="14"/>
      <c r="L349" s="15"/>
      <c r="M349" s="16"/>
      <c r="S349" s="93"/>
    </row>
    <row r="350" spans="2:19" ht="18" customHeight="1">
      <c r="B350" s="12"/>
      <c r="C350" s="27"/>
      <c r="D350" s="27"/>
      <c r="E350" s="27"/>
      <c r="F350" s="27"/>
      <c r="G350" s="27"/>
      <c r="H350" s="27"/>
      <c r="I350" s="29"/>
      <c r="J350" s="14"/>
      <c r="K350" s="14"/>
      <c r="L350" s="15"/>
      <c r="M350" s="16"/>
      <c r="S350" s="93"/>
    </row>
    <row r="351" spans="2:19" ht="18" customHeight="1">
      <c r="B351" s="12"/>
      <c r="C351" s="27"/>
      <c r="D351" s="27"/>
      <c r="E351" s="27"/>
      <c r="F351" s="27"/>
      <c r="G351" s="27"/>
      <c r="H351" s="27"/>
      <c r="I351" s="29"/>
      <c r="J351" s="14"/>
      <c r="K351" s="14"/>
      <c r="L351" s="15"/>
      <c r="M351" s="16"/>
      <c r="S351" s="93"/>
    </row>
    <row r="352" spans="2:19" ht="18" customHeight="1">
      <c r="B352" s="12"/>
      <c r="C352" s="27"/>
      <c r="D352" s="27"/>
      <c r="E352" s="27"/>
      <c r="F352" s="27"/>
      <c r="G352" s="27"/>
      <c r="H352" s="27"/>
      <c r="I352" s="29"/>
      <c r="J352" s="14"/>
      <c r="K352" s="14"/>
      <c r="L352" s="15"/>
      <c r="M352" s="16"/>
      <c r="P352" s="85" t="s">
        <v>91</v>
      </c>
      <c r="S352" s="93"/>
    </row>
    <row r="353" spans="2:19" ht="18" customHeight="1">
      <c r="B353" s="12"/>
      <c r="C353" s="27"/>
      <c r="D353" s="27"/>
      <c r="E353" s="27"/>
      <c r="F353" s="27"/>
      <c r="G353" s="27"/>
      <c r="H353" s="27"/>
      <c r="I353" s="29"/>
      <c r="J353" s="14"/>
      <c r="K353" s="14"/>
      <c r="L353" s="15"/>
      <c r="M353" s="16"/>
      <c r="S353" s="93"/>
    </row>
    <row r="354" spans="2:19" ht="18" customHeight="1">
      <c r="B354" s="12"/>
      <c r="C354" s="27"/>
      <c r="D354" s="27"/>
      <c r="E354" s="27"/>
      <c r="F354" s="27"/>
      <c r="G354" s="27"/>
      <c r="H354" s="27"/>
      <c r="I354" s="29"/>
      <c r="J354" s="14"/>
      <c r="K354" s="14"/>
      <c r="L354" s="15"/>
      <c r="M354" s="16"/>
      <c r="S354" s="93"/>
    </row>
    <row r="355" spans="2:19" ht="18" customHeight="1">
      <c r="B355" s="12"/>
      <c r="C355" s="27"/>
      <c r="D355" s="27"/>
      <c r="E355" s="27"/>
      <c r="F355" s="27"/>
      <c r="G355" s="27"/>
      <c r="H355" s="27"/>
      <c r="I355" s="29"/>
      <c r="J355" s="14"/>
      <c r="K355" s="14"/>
      <c r="L355" s="15"/>
      <c r="M355" s="16"/>
      <c r="S355" s="93"/>
    </row>
    <row r="356" spans="2:19" ht="18" customHeight="1">
      <c r="B356" s="12"/>
      <c r="C356" s="27"/>
      <c r="D356" s="27"/>
      <c r="E356" s="27"/>
      <c r="F356" s="27"/>
      <c r="G356" s="27"/>
      <c r="H356" s="27"/>
      <c r="I356" s="29"/>
      <c r="J356" s="14"/>
      <c r="K356" s="14"/>
      <c r="L356" s="15"/>
      <c r="M356" s="16"/>
      <c r="N356" s="85" t="s">
        <v>91</v>
      </c>
      <c r="S356" s="93"/>
    </row>
    <row r="357" spans="2:19" ht="18" customHeight="1">
      <c r="B357" s="12"/>
      <c r="C357" s="27"/>
      <c r="D357" s="27"/>
      <c r="E357" s="27"/>
      <c r="F357" s="27"/>
      <c r="G357" s="27"/>
      <c r="H357" s="27"/>
      <c r="I357" s="29"/>
      <c r="J357" s="14"/>
      <c r="K357" s="14"/>
      <c r="L357" s="15"/>
      <c r="M357" s="16"/>
      <c r="S357" s="93"/>
    </row>
    <row r="358" spans="2:19" ht="18" customHeight="1">
      <c r="B358" s="12"/>
      <c r="C358" s="27"/>
      <c r="D358" s="27"/>
      <c r="E358" s="27"/>
      <c r="F358" s="27"/>
      <c r="G358" s="27"/>
      <c r="H358" s="27"/>
      <c r="I358" s="29"/>
      <c r="J358" s="14"/>
      <c r="K358" s="14"/>
      <c r="L358" s="15"/>
      <c r="M358" s="16"/>
      <c r="S358" s="93"/>
    </row>
    <row r="359" spans="2:19" ht="18" customHeight="1">
      <c r="B359" s="12"/>
      <c r="C359" s="27"/>
      <c r="D359" s="27"/>
      <c r="E359" s="27"/>
      <c r="F359" s="27"/>
      <c r="G359" s="27"/>
      <c r="H359" s="27"/>
      <c r="I359" s="29"/>
      <c r="J359" s="14"/>
      <c r="K359" s="14"/>
      <c r="L359" s="15"/>
      <c r="M359" s="16"/>
      <c r="S359" s="93"/>
    </row>
    <row r="360" spans="2:19" ht="18" customHeight="1">
      <c r="B360" s="12"/>
      <c r="C360" s="27"/>
      <c r="D360" s="27"/>
      <c r="E360" s="27"/>
      <c r="F360" s="27"/>
      <c r="G360" s="27"/>
      <c r="H360" s="27"/>
      <c r="I360" s="29"/>
      <c r="J360" s="14"/>
      <c r="K360" s="14"/>
      <c r="L360" s="15"/>
      <c r="M360" s="16"/>
      <c r="S360" s="93"/>
    </row>
    <row r="361" spans="2:19" ht="18" customHeight="1">
      <c r="B361" s="12"/>
      <c r="C361" s="27"/>
      <c r="D361" s="27"/>
      <c r="E361" s="27"/>
      <c r="F361" s="27"/>
      <c r="G361" s="27"/>
      <c r="H361" s="27"/>
      <c r="I361" s="29"/>
      <c r="J361" s="14"/>
      <c r="K361" s="14"/>
      <c r="L361" s="15"/>
      <c r="M361" s="16"/>
      <c r="S361" s="93"/>
    </row>
    <row r="362" spans="2:19" ht="18" customHeight="1">
      <c r="B362" s="12"/>
      <c r="C362" s="27"/>
      <c r="D362" s="27"/>
      <c r="E362" s="27"/>
      <c r="F362" s="27"/>
      <c r="G362" s="27"/>
      <c r="H362" s="27"/>
      <c r="I362" s="29"/>
      <c r="J362" s="14"/>
      <c r="K362" s="14"/>
      <c r="L362" s="15"/>
      <c r="M362" s="16"/>
      <c r="S362" s="93"/>
    </row>
    <row r="363" spans="2:19" ht="18" customHeight="1">
      <c r="B363" s="12"/>
      <c r="C363" s="27"/>
      <c r="D363" s="27"/>
      <c r="E363" s="27"/>
      <c r="F363" s="27"/>
      <c r="G363" s="27"/>
      <c r="H363" s="27"/>
      <c r="I363" s="29"/>
      <c r="J363" s="14"/>
      <c r="K363" s="14"/>
      <c r="L363" s="15"/>
      <c r="M363" s="16"/>
      <c r="S363" s="93"/>
    </row>
    <row r="364" spans="2:19" ht="18" customHeight="1">
      <c r="B364" s="12"/>
      <c r="C364" s="27"/>
      <c r="D364" s="27"/>
      <c r="E364" s="27"/>
      <c r="F364" s="27"/>
      <c r="G364" s="27"/>
      <c r="H364" s="27"/>
      <c r="I364" s="29"/>
      <c r="J364" s="14"/>
      <c r="K364" s="14"/>
      <c r="L364" s="15"/>
      <c r="M364" s="16"/>
      <c r="S364" s="93"/>
    </row>
    <row r="365" spans="2:19" ht="18" customHeight="1">
      <c r="B365" s="12"/>
      <c r="C365" s="27"/>
      <c r="D365" s="27"/>
      <c r="E365" s="27"/>
      <c r="F365" s="27"/>
      <c r="G365" s="27"/>
      <c r="H365" s="27"/>
      <c r="I365" s="29"/>
      <c r="J365" s="14"/>
      <c r="K365" s="14"/>
      <c r="L365" s="15"/>
      <c r="M365" s="16"/>
      <c r="S365" s="93"/>
    </row>
    <row r="366" spans="2:19" ht="18" customHeight="1">
      <c r="B366" s="12"/>
      <c r="C366" s="27"/>
      <c r="D366" s="27"/>
      <c r="E366" s="27"/>
      <c r="F366" s="27"/>
      <c r="G366" s="27"/>
      <c r="H366" s="27"/>
      <c r="I366" s="29"/>
      <c r="J366" s="14"/>
      <c r="K366" s="14"/>
      <c r="L366" s="15"/>
      <c r="M366" s="16"/>
      <c r="S366" s="93"/>
    </row>
    <row r="367" spans="2:19" ht="18" customHeight="1">
      <c r="B367" s="12"/>
      <c r="C367" s="27"/>
      <c r="D367" s="27"/>
      <c r="E367" s="27"/>
      <c r="F367" s="27"/>
      <c r="G367" s="27"/>
      <c r="H367" s="27"/>
      <c r="I367" s="29"/>
      <c r="J367" s="14"/>
      <c r="K367" s="14"/>
      <c r="L367" s="15"/>
      <c r="M367" s="16"/>
      <c r="S367" s="93"/>
    </row>
    <row r="368" spans="2:19" ht="18" customHeight="1">
      <c r="B368" s="12"/>
      <c r="C368" s="27"/>
      <c r="D368" s="27"/>
      <c r="E368" s="27"/>
      <c r="F368" s="27"/>
      <c r="G368" s="27"/>
      <c r="H368" s="27"/>
      <c r="I368" s="29"/>
      <c r="J368" s="14"/>
      <c r="K368" s="14"/>
      <c r="L368" s="15"/>
      <c r="M368" s="16"/>
      <c r="S368" s="93"/>
    </row>
    <row r="369" spans="2:19" ht="18" customHeight="1">
      <c r="B369" s="12"/>
      <c r="C369" s="27"/>
      <c r="D369" s="27"/>
      <c r="E369" s="27"/>
      <c r="F369" s="27"/>
      <c r="G369" s="27"/>
      <c r="H369" s="27"/>
      <c r="I369" s="29"/>
      <c r="J369" s="14"/>
      <c r="K369" s="14"/>
      <c r="L369" s="15"/>
      <c r="M369" s="16"/>
      <c r="S369" s="93"/>
    </row>
    <row r="370" spans="2:19" ht="18" customHeight="1">
      <c r="B370" s="12"/>
      <c r="C370" s="27"/>
      <c r="D370" s="27"/>
      <c r="E370" s="27"/>
      <c r="F370" s="27"/>
      <c r="G370" s="27"/>
      <c r="H370" s="27"/>
      <c r="I370" s="29"/>
      <c r="J370" s="14"/>
      <c r="K370" s="14"/>
      <c r="L370" s="15"/>
      <c r="M370" s="16"/>
      <c r="S370" s="93"/>
    </row>
    <row r="371" spans="2:19" ht="18" customHeight="1">
      <c r="B371" s="12"/>
      <c r="C371" s="27"/>
      <c r="D371" s="27"/>
      <c r="E371" s="27"/>
      <c r="F371" s="27"/>
      <c r="G371" s="27"/>
      <c r="H371" s="27"/>
      <c r="I371" s="29"/>
      <c r="J371" s="14"/>
      <c r="K371" s="14"/>
      <c r="L371" s="15"/>
      <c r="M371" s="16"/>
      <c r="S371" s="93"/>
    </row>
    <row r="372" spans="2:19" ht="18" customHeight="1">
      <c r="B372" s="12"/>
      <c r="C372" s="27"/>
      <c r="D372" s="27"/>
      <c r="E372" s="27"/>
      <c r="F372" s="27"/>
      <c r="G372" s="27"/>
      <c r="H372" s="27"/>
      <c r="I372" s="29"/>
      <c r="J372" s="14"/>
      <c r="K372" s="14"/>
      <c r="L372" s="15"/>
      <c r="M372" s="16"/>
      <c r="S372" s="93"/>
    </row>
    <row r="373" spans="2:19" ht="18" customHeight="1">
      <c r="B373" s="12"/>
      <c r="C373" s="27"/>
      <c r="D373" s="27"/>
      <c r="E373" s="27"/>
      <c r="F373" s="27"/>
      <c r="G373" s="27"/>
      <c r="H373" s="27"/>
      <c r="I373" s="29"/>
      <c r="J373" s="14"/>
      <c r="K373" s="14"/>
      <c r="L373" s="15"/>
      <c r="M373" s="16"/>
      <c r="S373" s="93"/>
    </row>
    <row r="374" spans="2:19" ht="18" customHeight="1">
      <c r="B374" s="12"/>
      <c r="C374" s="27"/>
      <c r="D374" s="27"/>
      <c r="E374" s="27"/>
      <c r="F374" s="27"/>
      <c r="G374" s="27"/>
      <c r="H374" s="27"/>
      <c r="I374" s="29"/>
      <c r="J374" s="14"/>
      <c r="K374" s="14"/>
      <c r="L374" s="15"/>
      <c r="M374" s="16"/>
      <c r="S374" s="93"/>
    </row>
    <row r="375" spans="2:19" ht="18" customHeight="1">
      <c r="B375" s="12" t="s">
        <v>89</v>
      </c>
      <c r="C375" s="27"/>
      <c r="D375" s="27">
        <f>D374*10</f>
        <v>0</v>
      </c>
      <c r="E375" s="27"/>
      <c r="F375" s="27"/>
      <c r="G375" s="27"/>
      <c r="H375" s="27"/>
      <c r="I375" s="29"/>
      <c r="J375" s="14"/>
      <c r="K375" s="14"/>
      <c r="L375" s="15"/>
      <c r="M375" s="16"/>
      <c r="S375" s="93"/>
    </row>
    <row r="376" spans="2:19" ht="18" customHeight="1">
      <c r="B376" s="12"/>
      <c r="C376" s="27"/>
      <c r="D376" s="27">
        <v>-100</v>
      </c>
      <c r="E376" s="27"/>
      <c r="F376" s="27"/>
      <c r="G376" s="27"/>
      <c r="H376" s="27"/>
      <c r="I376" s="29"/>
      <c r="J376" s="14"/>
      <c r="K376" s="14"/>
      <c r="L376" s="15"/>
      <c r="M376" s="16"/>
      <c r="S376" s="93"/>
    </row>
    <row r="377" spans="2:19" ht="18" customHeight="1">
      <c r="B377" s="12"/>
      <c r="C377" s="27"/>
      <c r="D377" s="27">
        <f>SUM(D375:D376)</f>
        <v>-100</v>
      </c>
      <c r="E377" s="27"/>
      <c r="F377" s="27">
        <f>D377</f>
        <v>-100</v>
      </c>
      <c r="G377" s="27"/>
      <c r="H377" s="27"/>
      <c r="I377" s="29"/>
      <c r="J377" s="14"/>
      <c r="K377" s="14"/>
      <c r="L377" s="15"/>
      <c r="M377" s="16"/>
      <c r="S377" s="93"/>
    </row>
    <row r="378" spans="2:19" ht="18" customHeight="1">
      <c r="B378" s="12"/>
      <c r="C378" s="27"/>
      <c r="D378" s="27"/>
      <c r="E378" s="27"/>
      <c r="F378" s="27"/>
      <c r="G378" s="27"/>
      <c r="H378" s="27"/>
      <c r="I378" s="29"/>
      <c r="J378" s="14"/>
      <c r="K378" s="14"/>
      <c r="L378" s="15"/>
      <c r="M378" s="16"/>
      <c r="S378" s="93"/>
    </row>
    <row r="379" spans="2:19" ht="18" customHeight="1">
      <c r="B379" s="12"/>
      <c r="C379" s="27"/>
      <c r="D379" s="27"/>
      <c r="E379" s="27"/>
      <c r="F379" s="27"/>
      <c r="G379" s="27"/>
      <c r="H379" s="27"/>
      <c r="I379" s="29"/>
      <c r="J379" s="14"/>
      <c r="K379" s="14"/>
      <c r="L379" s="15"/>
      <c r="M379" s="16"/>
      <c r="S379" s="93"/>
    </row>
    <row r="380" spans="2:19" ht="18" customHeight="1">
      <c r="B380" s="12"/>
      <c r="C380" s="27"/>
      <c r="D380" s="27"/>
      <c r="E380" s="27"/>
      <c r="F380" s="27"/>
      <c r="G380" s="27"/>
      <c r="H380" s="27"/>
      <c r="I380" s="29"/>
      <c r="J380" s="14"/>
      <c r="K380" s="14"/>
      <c r="L380" s="15"/>
      <c r="M380" s="16"/>
      <c r="S380" s="93"/>
    </row>
    <row r="381" spans="2:19" ht="18" customHeight="1">
      <c r="B381" s="12"/>
      <c r="C381" s="27">
        <v>7044</v>
      </c>
      <c r="D381" s="27"/>
      <c r="E381" s="27"/>
      <c r="F381" s="27"/>
      <c r="G381" s="27"/>
      <c r="H381" s="27"/>
      <c r="I381" s="29"/>
      <c r="J381" s="14"/>
      <c r="K381" s="14"/>
      <c r="L381" s="15"/>
      <c r="M381" s="16"/>
      <c r="S381" s="93"/>
    </row>
    <row r="382" spans="2:19" ht="18" customHeight="1">
      <c r="B382" s="12"/>
      <c r="C382" s="27">
        <v>7169</v>
      </c>
      <c r="D382" s="27">
        <f>C381-C382</f>
        <v>-125</v>
      </c>
      <c r="E382" s="27"/>
      <c r="F382" s="27"/>
      <c r="G382" s="27"/>
      <c r="H382" s="27"/>
      <c r="I382" s="29"/>
      <c r="J382" s="14"/>
      <c r="K382" s="14"/>
      <c r="L382" s="15"/>
      <c r="M382" s="16"/>
      <c r="S382" s="93"/>
    </row>
    <row r="383" spans="2:19" ht="18" customHeight="1">
      <c r="B383" s="12" t="s">
        <v>90</v>
      </c>
      <c r="C383" s="27">
        <v>7247</v>
      </c>
      <c r="D383" s="27">
        <f>C383-C382</f>
        <v>78</v>
      </c>
      <c r="E383" s="27"/>
      <c r="F383" s="27"/>
      <c r="G383" s="27"/>
      <c r="H383" s="27"/>
      <c r="I383" s="29"/>
      <c r="J383" s="14"/>
      <c r="K383" s="14"/>
      <c r="L383" s="15"/>
      <c r="M383" s="16"/>
      <c r="S383" s="93"/>
    </row>
    <row r="384" spans="2:19" ht="18" customHeight="1">
      <c r="B384" s="12"/>
      <c r="C384" s="27"/>
      <c r="D384" s="27">
        <f>SUM(D382:D383)</f>
        <v>-47</v>
      </c>
      <c r="E384" s="27"/>
      <c r="F384" s="27"/>
      <c r="G384" s="27"/>
      <c r="H384" s="27"/>
      <c r="I384" s="29"/>
      <c r="J384" s="14"/>
      <c r="K384" s="14"/>
      <c r="L384" s="15"/>
      <c r="M384" s="16"/>
      <c r="S384" s="93"/>
    </row>
    <row r="385" spans="2:19" ht="18" customHeight="1">
      <c r="B385" s="12"/>
      <c r="C385" s="27"/>
      <c r="D385" s="27">
        <f>D384*10</f>
        <v>-470</v>
      </c>
      <c r="E385" s="27"/>
      <c r="F385" s="27"/>
      <c r="G385" s="27"/>
      <c r="H385" s="27"/>
      <c r="I385" s="29"/>
      <c r="J385" s="14"/>
      <c r="K385" s="14"/>
      <c r="L385" s="15"/>
      <c r="M385" s="16"/>
      <c r="S385" s="93"/>
    </row>
    <row r="386" spans="2:19" ht="18" customHeight="1">
      <c r="B386" s="12"/>
      <c r="C386" s="27"/>
      <c r="D386" s="27">
        <v>-100</v>
      </c>
      <c r="E386" s="27"/>
      <c r="F386" s="27"/>
      <c r="G386" s="27"/>
      <c r="H386" s="27"/>
      <c r="I386" s="29"/>
      <c r="J386" s="14"/>
      <c r="K386" s="14"/>
      <c r="L386" s="15"/>
      <c r="M386" s="16"/>
      <c r="S386" s="93"/>
    </row>
    <row r="387" spans="2:19" ht="18" customHeight="1">
      <c r="B387" s="12"/>
      <c r="C387" s="27"/>
      <c r="D387" s="27">
        <f>SUM(D385:D386)</f>
        <v>-570</v>
      </c>
      <c r="E387" s="27"/>
      <c r="F387" s="27">
        <f>D387</f>
        <v>-570</v>
      </c>
      <c r="G387" s="27"/>
      <c r="H387" s="27"/>
      <c r="I387" s="29"/>
      <c r="J387" s="14"/>
      <c r="K387" s="14"/>
      <c r="L387" s="15"/>
      <c r="M387" s="16"/>
      <c r="S387" s="93"/>
    </row>
    <row r="388" spans="2:19" ht="18" customHeight="1">
      <c r="B388" s="12"/>
      <c r="C388" s="27"/>
      <c r="D388" s="27"/>
      <c r="E388" s="27"/>
      <c r="F388" s="27"/>
      <c r="G388" s="27"/>
      <c r="H388" s="27"/>
      <c r="I388" s="29"/>
      <c r="J388" s="14"/>
      <c r="K388" s="14"/>
      <c r="L388" s="15"/>
      <c r="M388" s="16"/>
      <c r="S388" s="93"/>
    </row>
    <row r="389" spans="2:19" ht="18" customHeight="1">
      <c r="B389" s="12"/>
      <c r="C389" s="27">
        <v>10111</v>
      </c>
      <c r="D389" s="27"/>
      <c r="E389" s="27"/>
      <c r="F389" s="27"/>
      <c r="G389" s="27"/>
      <c r="H389" s="27"/>
      <c r="I389" s="29"/>
      <c r="J389" s="14"/>
      <c r="K389" s="14"/>
      <c r="L389" s="15"/>
      <c r="M389" s="16"/>
      <c r="S389" s="93"/>
    </row>
    <row r="390" spans="2:19" ht="18" customHeight="1">
      <c r="B390" s="12"/>
      <c r="C390" s="27">
        <v>10092</v>
      </c>
      <c r="D390" s="27">
        <f>C390-C389</f>
        <v>-19</v>
      </c>
      <c r="E390" s="27"/>
      <c r="F390" s="27"/>
      <c r="G390" s="27"/>
      <c r="H390" s="27"/>
      <c r="I390" s="29"/>
      <c r="J390" s="14"/>
      <c r="K390" s="14"/>
      <c r="L390" s="15"/>
      <c r="M390" s="16"/>
      <c r="S390" s="93"/>
    </row>
    <row r="391" spans="2:19" ht="18" customHeight="1">
      <c r="B391" s="12"/>
      <c r="C391" s="27">
        <v>10056</v>
      </c>
      <c r="D391" s="27">
        <f>C390-C391</f>
        <v>36</v>
      </c>
      <c r="E391" s="27"/>
      <c r="F391" s="27"/>
      <c r="G391" s="27"/>
      <c r="H391" s="27"/>
      <c r="I391" s="29"/>
      <c r="J391" s="14"/>
      <c r="K391" s="14"/>
      <c r="L391" s="15"/>
      <c r="M391" s="16"/>
      <c r="S391" s="93"/>
    </row>
    <row r="392" spans="2:19" ht="18" customHeight="1">
      <c r="B392" s="12"/>
      <c r="C392" s="27"/>
      <c r="D392" s="27">
        <f>SUM(D390:D391)</f>
        <v>17</v>
      </c>
      <c r="E392" s="27"/>
      <c r="F392" s="27"/>
      <c r="G392" s="27"/>
      <c r="H392" s="27"/>
      <c r="I392" s="29"/>
      <c r="J392" s="14"/>
      <c r="K392" s="14"/>
      <c r="L392" s="15"/>
      <c r="M392" s="16"/>
      <c r="S392" s="93"/>
    </row>
    <row r="393" spans="2:19" ht="18" customHeight="1">
      <c r="B393" s="12" t="s">
        <v>91</v>
      </c>
      <c r="C393" s="27"/>
      <c r="D393" s="27">
        <f>D392*12.5</f>
        <v>212.5</v>
      </c>
      <c r="E393" s="27"/>
      <c r="F393" s="27"/>
      <c r="G393" s="27"/>
      <c r="H393" s="27"/>
      <c r="I393" s="29"/>
      <c r="J393" s="14"/>
      <c r="K393" s="14"/>
      <c r="L393" s="15"/>
      <c r="M393" s="16"/>
      <c r="S393" s="93"/>
    </row>
    <row r="394" spans="2:19" ht="18" customHeight="1">
      <c r="B394" s="12"/>
      <c r="C394" s="27"/>
      <c r="D394" s="27">
        <v>-100</v>
      </c>
      <c r="E394" s="27"/>
      <c r="F394" s="27"/>
      <c r="G394" s="27"/>
      <c r="H394" s="27"/>
      <c r="I394" s="29"/>
      <c r="J394" s="14"/>
      <c r="K394" s="14"/>
      <c r="L394" s="15"/>
      <c r="M394" s="16"/>
      <c r="S394" s="93"/>
    </row>
    <row r="395" spans="2:19" ht="18" customHeight="1">
      <c r="B395" s="12"/>
      <c r="C395" s="27"/>
      <c r="D395" s="27">
        <f>SUM(D393:D394)</f>
        <v>112.5</v>
      </c>
      <c r="E395" s="27"/>
      <c r="F395" s="27">
        <f>D395</f>
        <v>112.5</v>
      </c>
      <c r="G395" s="27"/>
      <c r="H395" s="27"/>
      <c r="I395" s="29"/>
      <c r="J395" s="14"/>
      <c r="K395" s="14"/>
      <c r="L395" s="15"/>
      <c r="M395" s="16"/>
      <c r="S395" s="93"/>
    </row>
    <row r="396" spans="2:19" ht="18" customHeight="1">
      <c r="B396" s="12"/>
      <c r="C396" s="27"/>
      <c r="D396" s="27"/>
      <c r="E396" s="27"/>
      <c r="F396" s="27">
        <f>SUM(F347:F395)</f>
        <v>-557.5</v>
      </c>
      <c r="G396" s="27"/>
      <c r="H396" s="27"/>
      <c r="I396" s="29"/>
      <c r="J396" s="14"/>
      <c r="K396" s="14"/>
      <c r="L396" s="15"/>
      <c r="M396" s="16"/>
      <c r="S396" s="93"/>
    </row>
    <row r="397" spans="2:19" ht="18" customHeight="1">
      <c r="B397" s="12"/>
      <c r="C397" s="27"/>
      <c r="D397" s="27"/>
      <c r="E397" s="27"/>
      <c r="F397" s="27"/>
      <c r="G397" s="27"/>
      <c r="H397" s="27"/>
      <c r="I397" s="29"/>
      <c r="J397" s="14"/>
      <c r="K397" s="14"/>
      <c r="L397" s="15"/>
      <c r="M397" s="16"/>
      <c r="S397" s="93"/>
    </row>
    <row r="398" spans="2:19" ht="18" customHeight="1">
      <c r="B398" s="12"/>
      <c r="C398" s="27"/>
      <c r="D398" s="27"/>
      <c r="E398" s="27"/>
      <c r="F398" s="27"/>
      <c r="G398" s="27"/>
      <c r="H398" s="27"/>
      <c r="I398" s="29"/>
      <c r="J398" s="14"/>
      <c r="K398" s="14"/>
      <c r="L398" s="15"/>
      <c r="M398" s="16"/>
      <c r="S398" s="93"/>
    </row>
    <row r="399" spans="2:19" ht="18" customHeight="1">
      <c r="B399" s="12"/>
      <c r="C399" s="27"/>
      <c r="D399" s="27"/>
      <c r="E399" s="27"/>
      <c r="F399" s="27"/>
      <c r="G399" s="27"/>
      <c r="H399" s="27"/>
      <c r="I399" s="29"/>
      <c r="J399" s="14"/>
      <c r="K399" s="14"/>
      <c r="L399" s="15"/>
      <c r="M399" s="16"/>
      <c r="S399" s="93"/>
    </row>
    <row r="400" spans="2:19" ht="18" customHeight="1">
      <c r="B400" s="12"/>
      <c r="C400" s="27"/>
      <c r="D400" s="27"/>
      <c r="E400" s="27"/>
      <c r="F400" s="27"/>
      <c r="G400" s="27"/>
      <c r="H400" s="27"/>
      <c r="I400" s="29"/>
      <c r="J400" s="14"/>
      <c r="K400" s="14"/>
      <c r="L400" s="15"/>
      <c r="M400" s="16"/>
      <c r="S400" s="93"/>
    </row>
    <row r="401" spans="2:19" ht="18" customHeight="1">
      <c r="B401" s="12"/>
      <c r="C401" s="27"/>
      <c r="D401" s="27"/>
      <c r="E401" s="27"/>
      <c r="F401" s="27"/>
      <c r="G401" s="27"/>
      <c r="H401" s="27"/>
      <c r="I401" s="29"/>
      <c r="J401" s="14"/>
      <c r="K401" s="14"/>
      <c r="L401" s="15"/>
      <c r="M401" s="16"/>
      <c r="S401" s="93"/>
    </row>
    <row r="402" spans="2:19" ht="18" customHeight="1">
      <c r="B402" s="12"/>
      <c r="C402" s="27"/>
      <c r="D402" s="27"/>
      <c r="E402" s="27"/>
      <c r="F402" s="27"/>
      <c r="G402" s="27"/>
      <c r="H402" s="27"/>
      <c r="I402" s="29"/>
      <c r="J402" s="14"/>
      <c r="K402" s="14"/>
      <c r="L402" s="15"/>
      <c r="M402" s="16"/>
      <c r="S402" s="93"/>
    </row>
    <row r="403" spans="2:19" ht="18" customHeight="1">
      <c r="B403" s="12"/>
      <c r="C403" s="27"/>
      <c r="D403" s="27"/>
      <c r="E403" s="27"/>
      <c r="F403" s="27"/>
      <c r="G403" s="27"/>
      <c r="H403" s="27"/>
      <c r="I403" s="29"/>
      <c r="J403" s="14"/>
      <c r="K403" s="14"/>
      <c r="L403" s="15"/>
      <c r="M403" s="16"/>
      <c r="S403" s="93"/>
    </row>
    <row r="404" spans="2:19" ht="18" customHeight="1">
      <c r="B404" s="12"/>
      <c r="C404" s="27"/>
      <c r="D404" s="27"/>
      <c r="E404" s="27"/>
      <c r="F404" s="27"/>
      <c r="G404" s="27"/>
      <c r="H404" s="27"/>
      <c r="I404" s="29"/>
      <c r="J404" s="14"/>
      <c r="K404" s="14"/>
      <c r="L404" s="15"/>
      <c r="M404" s="16"/>
      <c r="S404" s="93"/>
    </row>
    <row r="405" spans="2:19" ht="18" customHeight="1">
      <c r="B405" s="12"/>
      <c r="C405" s="27"/>
      <c r="D405" s="27"/>
      <c r="E405" s="27"/>
      <c r="F405" s="27"/>
      <c r="G405" s="27"/>
      <c r="H405" s="27"/>
      <c r="I405" s="29"/>
      <c r="J405" s="14"/>
      <c r="K405" s="14"/>
      <c r="L405" s="15"/>
      <c r="M405" s="16"/>
      <c r="S405" s="93"/>
    </row>
    <row r="406" spans="2:19" ht="18" customHeight="1">
      <c r="B406" s="12"/>
      <c r="C406" s="27"/>
      <c r="D406" s="27"/>
      <c r="E406" s="27"/>
      <c r="F406" s="27"/>
      <c r="G406" s="27"/>
      <c r="H406" s="27"/>
      <c r="I406" s="29"/>
      <c r="J406" s="14"/>
      <c r="K406" s="14"/>
      <c r="L406" s="15"/>
      <c r="M406" s="16"/>
      <c r="S406" s="93"/>
    </row>
    <row r="407" spans="2:19" ht="18" customHeight="1">
      <c r="B407" s="12"/>
      <c r="C407" s="27"/>
      <c r="D407" s="27"/>
      <c r="E407" s="27"/>
      <c r="F407" s="27"/>
      <c r="G407" s="27"/>
      <c r="H407" s="27"/>
      <c r="I407" s="29"/>
      <c r="J407" s="14"/>
      <c r="K407" s="14"/>
      <c r="L407" s="15"/>
      <c r="M407" s="16"/>
      <c r="S407" s="93"/>
    </row>
    <row r="408" spans="2:19" ht="18" customHeight="1">
      <c r="B408" s="12"/>
      <c r="C408" s="27"/>
      <c r="D408" s="27"/>
      <c r="E408" s="27"/>
      <c r="F408" s="27"/>
      <c r="G408" s="27"/>
      <c r="H408" s="27"/>
      <c r="I408" s="29"/>
      <c r="J408" s="14"/>
      <c r="K408" s="14"/>
      <c r="L408" s="15"/>
      <c r="M408" s="16"/>
      <c r="S408" s="93"/>
    </row>
    <row r="409" spans="2:19" ht="18" customHeight="1">
      <c r="B409" s="12"/>
      <c r="C409" s="27"/>
      <c r="D409" s="27"/>
      <c r="E409" s="27"/>
      <c r="F409" s="27"/>
      <c r="G409" s="27"/>
      <c r="H409" s="27"/>
      <c r="I409" s="29"/>
      <c r="J409" s="14"/>
      <c r="K409" s="14"/>
      <c r="L409" s="15"/>
      <c r="M409" s="16"/>
      <c r="S409" s="93"/>
    </row>
    <row r="410" spans="2:19" ht="18" customHeight="1">
      <c r="B410" s="12"/>
      <c r="C410" s="27"/>
      <c r="D410" s="27"/>
      <c r="E410" s="27"/>
      <c r="F410" s="27"/>
      <c r="G410" s="27"/>
      <c r="H410" s="27"/>
      <c r="I410" s="29"/>
      <c r="J410" s="14"/>
      <c r="K410" s="14"/>
      <c r="L410" s="15"/>
      <c r="M410" s="16"/>
      <c r="S410" s="93"/>
    </row>
    <row r="411" spans="2:19" ht="18" customHeight="1">
      <c r="B411" s="12"/>
      <c r="C411" s="27"/>
      <c r="D411" s="27"/>
      <c r="E411" s="27"/>
      <c r="F411" s="27"/>
      <c r="G411" s="27"/>
      <c r="H411" s="27"/>
      <c r="I411" s="29"/>
      <c r="J411" s="14"/>
      <c r="K411" s="14"/>
      <c r="L411" s="15"/>
      <c r="M411" s="16"/>
      <c r="S411" s="93"/>
    </row>
    <row r="412" spans="2:19" ht="18" customHeight="1">
      <c r="B412" s="12"/>
      <c r="C412" s="27"/>
      <c r="D412" s="27"/>
      <c r="E412" s="27"/>
      <c r="F412" s="27"/>
      <c r="G412" s="27"/>
      <c r="H412" s="27"/>
      <c r="I412" s="29"/>
      <c r="J412" s="14"/>
      <c r="K412" s="14"/>
      <c r="L412" s="15"/>
      <c r="M412" s="16"/>
      <c r="S412" s="93"/>
    </row>
    <row r="413" spans="2:19" ht="18" customHeight="1">
      <c r="B413" s="12"/>
      <c r="C413" s="27"/>
      <c r="D413" s="27"/>
      <c r="E413" s="27"/>
      <c r="F413" s="27"/>
      <c r="G413" s="27"/>
      <c r="H413" s="27"/>
      <c r="I413" s="29"/>
      <c r="J413" s="14"/>
      <c r="K413" s="14"/>
      <c r="L413" s="15"/>
      <c r="M413" s="16"/>
      <c r="S413" s="93"/>
    </row>
    <row r="414" spans="2:19" ht="18" customHeight="1">
      <c r="B414" s="12"/>
      <c r="C414" s="27"/>
      <c r="D414" s="27"/>
      <c r="E414" s="27"/>
      <c r="F414" s="27"/>
      <c r="G414" s="27"/>
      <c r="H414" s="27"/>
      <c r="I414" s="29"/>
      <c r="J414" s="14"/>
      <c r="K414" s="14"/>
      <c r="L414" s="15"/>
      <c r="M414" s="16"/>
      <c r="S414" s="93"/>
    </row>
    <row r="415" spans="2:19" ht="18" customHeight="1">
      <c r="B415" s="12"/>
      <c r="C415" s="27"/>
      <c r="D415" s="27"/>
      <c r="E415" s="27"/>
      <c r="F415" s="27"/>
      <c r="G415" s="27"/>
      <c r="H415" s="27"/>
      <c r="I415" s="29"/>
      <c r="J415" s="14"/>
      <c r="K415" s="14"/>
      <c r="L415" s="15"/>
      <c r="M415" s="16"/>
      <c r="S415" s="93"/>
    </row>
    <row r="416" spans="2:19" ht="18" customHeight="1">
      <c r="B416" s="12"/>
      <c r="C416" s="27"/>
      <c r="D416" s="27"/>
      <c r="E416" s="27"/>
      <c r="F416" s="27"/>
      <c r="G416" s="27"/>
      <c r="H416" s="27"/>
      <c r="I416" s="29"/>
      <c r="J416" s="14"/>
      <c r="K416" s="14"/>
      <c r="L416" s="15"/>
      <c r="M416" s="16"/>
      <c r="S416" s="93"/>
    </row>
    <row r="417" spans="2:19" ht="18" customHeight="1">
      <c r="B417" s="12"/>
      <c r="C417" s="27"/>
      <c r="D417" s="27"/>
      <c r="E417" s="27"/>
      <c r="F417" s="27"/>
      <c r="G417" s="27"/>
      <c r="H417" s="27"/>
      <c r="I417" s="29"/>
      <c r="J417" s="14"/>
      <c r="K417" s="14"/>
      <c r="L417" s="15"/>
      <c r="M417" s="16"/>
      <c r="S417" s="93"/>
    </row>
    <row r="418" spans="2:19" ht="18" customHeight="1">
      <c r="B418" s="12"/>
      <c r="C418" s="27"/>
      <c r="D418" s="27"/>
      <c r="E418" s="27"/>
      <c r="F418" s="27"/>
      <c r="G418" s="27"/>
      <c r="H418" s="27"/>
      <c r="I418" s="29"/>
      <c r="J418" s="14"/>
      <c r="K418" s="14"/>
      <c r="L418" s="15"/>
      <c r="M418" s="16"/>
      <c r="S418" s="93"/>
    </row>
    <row r="419" spans="2:19" ht="18" customHeight="1">
      <c r="B419" s="12"/>
      <c r="C419" s="27"/>
      <c r="D419" s="27"/>
      <c r="E419" s="27"/>
      <c r="F419" s="27"/>
      <c r="G419" s="27"/>
      <c r="H419" s="27"/>
      <c r="I419" s="29"/>
      <c r="J419" s="14"/>
      <c r="K419" s="14"/>
      <c r="L419" s="15"/>
      <c r="M419" s="16"/>
      <c r="S419" s="93"/>
    </row>
    <row r="420" spans="2:19" ht="18" customHeight="1">
      <c r="B420" s="12"/>
      <c r="C420" s="27"/>
      <c r="D420" s="27"/>
      <c r="E420" s="27"/>
      <c r="F420" s="27"/>
      <c r="G420" s="27"/>
      <c r="H420" s="27"/>
      <c r="I420" s="29"/>
      <c r="J420" s="14"/>
      <c r="K420" s="14"/>
      <c r="L420" s="15"/>
      <c r="M420" s="16"/>
      <c r="S420" s="93"/>
    </row>
    <row r="421" spans="2:19" ht="18" customHeight="1">
      <c r="B421" s="12"/>
      <c r="C421" s="27"/>
      <c r="D421" s="27"/>
      <c r="E421" s="27"/>
      <c r="F421" s="27"/>
      <c r="G421" s="27"/>
      <c r="H421" s="27"/>
      <c r="I421" s="29"/>
      <c r="J421" s="14"/>
      <c r="K421" s="14"/>
      <c r="L421" s="15"/>
      <c r="M421" s="16"/>
      <c r="S421" s="93"/>
    </row>
    <row r="422" spans="2:19" ht="18" customHeight="1">
      <c r="B422" s="12"/>
      <c r="C422" s="27"/>
      <c r="D422" s="27"/>
      <c r="E422" s="27"/>
      <c r="F422" s="27"/>
      <c r="G422" s="27"/>
      <c r="H422" s="27"/>
      <c r="I422" s="29"/>
      <c r="J422" s="14"/>
      <c r="K422" s="14"/>
      <c r="L422" s="15"/>
      <c r="M422" s="16"/>
      <c r="S422" s="93"/>
    </row>
    <row r="423" spans="2:19" ht="18" customHeight="1">
      <c r="B423" s="12"/>
      <c r="C423" s="27"/>
      <c r="D423" s="27"/>
      <c r="E423" s="27"/>
      <c r="F423" s="27"/>
      <c r="G423" s="27"/>
      <c r="H423" s="27"/>
      <c r="I423" s="29"/>
      <c r="J423" s="14"/>
      <c r="K423" s="14"/>
      <c r="L423" s="15"/>
      <c r="M423" s="16"/>
      <c r="S423" s="93"/>
    </row>
    <row r="424" spans="2:19" ht="18" customHeight="1">
      <c r="B424" s="12"/>
      <c r="C424" s="27"/>
      <c r="D424" s="27"/>
      <c r="E424" s="27"/>
      <c r="F424" s="27"/>
      <c r="G424" s="27"/>
      <c r="H424" s="27"/>
      <c r="I424" s="29"/>
      <c r="J424" s="14"/>
      <c r="K424" s="14"/>
      <c r="L424" s="15"/>
      <c r="M424" s="16"/>
      <c r="S424" s="93"/>
    </row>
    <row r="425" spans="2:19" ht="18" customHeight="1">
      <c r="B425" s="12"/>
      <c r="C425" s="27"/>
      <c r="D425" s="27"/>
      <c r="E425" s="27"/>
      <c r="F425" s="27"/>
      <c r="G425" s="27"/>
      <c r="H425" s="27"/>
      <c r="I425" s="29"/>
      <c r="J425" s="14"/>
      <c r="K425" s="14"/>
      <c r="L425" s="15"/>
      <c r="M425" s="16"/>
      <c r="S425" s="93"/>
    </row>
    <row r="426" spans="2:19" ht="18" customHeight="1">
      <c r="B426" s="12"/>
      <c r="C426" s="27"/>
      <c r="D426" s="27"/>
      <c r="E426" s="27"/>
      <c r="F426" s="27"/>
      <c r="G426" s="27"/>
      <c r="H426" s="27"/>
      <c r="I426" s="29"/>
      <c r="J426" s="14"/>
      <c r="K426" s="14"/>
      <c r="L426" s="15"/>
      <c r="M426" s="16"/>
      <c r="S426" s="93"/>
    </row>
    <row r="427" spans="2:19">
      <c r="B427" s="12"/>
      <c r="C427" s="27"/>
      <c r="D427" s="27"/>
      <c r="E427" s="27"/>
      <c r="F427" s="27"/>
      <c r="G427" s="27"/>
      <c r="H427" s="27"/>
      <c r="I427" s="29"/>
      <c r="J427" s="14"/>
      <c r="K427" s="14"/>
      <c r="L427" s="15"/>
      <c r="M427" s="16"/>
      <c r="S427" s="93"/>
    </row>
    <row r="428" spans="2:19">
      <c r="B428" s="12"/>
      <c r="C428" s="27"/>
      <c r="D428" s="27"/>
      <c r="E428" s="27"/>
      <c r="F428" s="27"/>
      <c r="G428" s="27"/>
      <c r="H428" s="27"/>
      <c r="I428" s="29"/>
      <c r="J428" s="14"/>
      <c r="K428" s="14"/>
      <c r="L428" s="15"/>
      <c r="M428" s="16"/>
      <c r="S428" s="93"/>
    </row>
    <row r="429" spans="2:19">
      <c r="B429" s="12"/>
      <c r="C429" s="27"/>
      <c r="D429" s="27"/>
      <c r="E429" s="27"/>
      <c r="F429" s="27"/>
      <c r="G429" s="27"/>
      <c r="H429" s="27"/>
      <c r="I429" s="29"/>
      <c r="J429" s="14"/>
      <c r="K429" s="14"/>
      <c r="L429" s="15"/>
      <c r="M429" s="16"/>
      <c r="S429" s="93"/>
    </row>
    <row r="430" spans="2:19">
      <c r="B430" s="12"/>
      <c r="C430" s="27"/>
      <c r="D430" s="27"/>
      <c r="E430" s="27"/>
      <c r="F430" s="27"/>
      <c r="G430" s="27"/>
      <c r="H430" s="27"/>
      <c r="I430" s="29"/>
      <c r="J430" s="14"/>
      <c r="K430" s="14"/>
      <c r="L430" s="15"/>
      <c r="M430" s="16"/>
      <c r="P430" s="85" t="s">
        <v>18</v>
      </c>
      <c r="S430" s="93"/>
    </row>
    <row r="431" spans="2:19">
      <c r="B431" s="12"/>
      <c r="C431" s="27"/>
      <c r="D431" s="27"/>
      <c r="E431" s="27"/>
      <c r="F431" s="27"/>
      <c r="G431" s="27"/>
      <c r="H431" s="27"/>
      <c r="I431" s="29"/>
      <c r="J431" s="14"/>
      <c r="K431" s="14"/>
      <c r="L431" s="15"/>
      <c r="M431" s="16"/>
      <c r="S431" s="93"/>
    </row>
    <row r="432" spans="2:19">
      <c r="B432" s="12"/>
      <c r="C432" s="27"/>
      <c r="D432" s="27"/>
      <c r="E432" s="27"/>
      <c r="F432" s="27"/>
      <c r="G432" s="27"/>
      <c r="H432" s="27"/>
      <c r="I432" s="29"/>
      <c r="J432" s="14"/>
      <c r="K432" s="14"/>
      <c r="L432" s="15"/>
      <c r="M432" s="16"/>
      <c r="P432" s="85" t="s">
        <v>19</v>
      </c>
      <c r="S432" s="93"/>
    </row>
    <row r="433" spans="1:19">
      <c r="A433" s="33"/>
      <c r="B433" s="12"/>
      <c r="C433" s="27"/>
      <c r="D433" s="27"/>
      <c r="E433" s="27"/>
      <c r="F433" s="27"/>
      <c r="G433" s="27"/>
      <c r="H433" s="27"/>
      <c r="I433" s="29"/>
      <c r="J433" s="14"/>
      <c r="K433" s="14"/>
      <c r="L433" s="15"/>
      <c r="M433" s="16"/>
      <c r="P433" s="85" t="s">
        <v>20</v>
      </c>
      <c r="S433" s="93"/>
    </row>
    <row r="434" spans="1:19">
      <c r="A434" s="33"/>
      <c r="B434" s="12"/>
      <c r="C434" s="27"/>
      <c r="D434" s="27"/>
      <c r="E434" s="27"/>
      <c r="F434" s="27"/>
      <c r="G434" s="27"/>
      <c r="H434" s="27"/>
      <c r="I434" s="29"/>
      <c r="J434" s="14"/>
      <c r="K434" s="14"/>
      <c r="L434" s="15"/>
      <c r="M434" s="16"/>
      <c r="N434" s="85" t="s">
        <v>18</v>
      </c>
      <c r="S434" s="93"/>
    </row>
    <row r="435" spans="1:19">
      <c r="A435" s="33"/>
      <c r="B435" s="12"/>
      <c r="C435" s="27"/>
      <c r="D435" s="27"/>
      <c r="E435" s="27"/>
      <c r="F435" s="27"/>
      <c r="G435" s="27"/>
      <c r="H435" s="27"/>
      <c r="I435" s="29"/>
      <c r="J435" s="14"/>
      <c r="K435" s="14"/>
      <c r="L435" s="15"/>
      <c r="M435" s="16"/>
      <c r="P435" s="85" t="s">
        <v>26</v>
      </c>
      <c r="S435" s="93"/>
    </row>
    <row r="436" spans="1:19" ht="14.25" customHeight="1">
      <c r="A436" s="33"/>
      <c r="B436" s="12"/>
      <c r="C436" s="27"/>
      <c r="D436" s="27"/>
      <c r="E436" s="27"/>
      <c r="F436" s="27"/>
      <c r="G436" s="27"/>
      <c r="H436" s="27"/>
      <c r="I436" s="29"/>
      <c r="J436" s="14"/>
      <c r="K436" s="14"/>
      <c r="L436" s="15"/>
      <c r="M436" s="16"/>
      <c r="N436" s="85" t="s">
        <v>19</v>
      </c>
      <c r="S436" s="93"/>
    </row>
    <row r="437" spans="1:19" hidden="1">
      <c r="A437" s="33"/>
      <c r="B437" s="12"/>
      <c r="C437" s="27"/>
      <c r="D437" s="27"/>
      <c r="E437" s="27"/>
      <c r="F437" s="27"/>
      <c r="G437" s="27"/>
      <c r="H437" s="27"/>
      <c r="I437" s="29"/>
      <c r="J437" s="14"/>
      <c r="K437" s="14"/>
      <c r="L437" s="15"/>
      <c r="M437" s="16"/>
      <c r="N437" s="85" t="s">
        <v>20</v>
      </c>
      <c r="S437" s="93"/>
    </row>
    <row r="438" spans="1:19" ht="33" hidden="1" customHeight="1">
      <c r="A438" s="33"/>
      <c r="B438" s="12"/>
      <c r="C438" s="27"/>
      <c r="D438" s="27"/>
      <c r="E438" s="27"/>
      <c r="F438" s="27"/>
      <c r="G438" s="27"/>
      <c r="H438" s="27"/>
      <c r="I438" s="29"/>
      <c r="J438" s="14"/>
      <c r="K438" s="14"/>
      <c r="L438" s="15"/>
      <c r="M438" s="16"/>
      <c r="P438" s="85" t="s">
        <v>27</v>
      </c>
      <c r="S438" s="93"/>
    </row>
    <row r="439" spans="1:19" ht="33" hidden="1" customHeight="1">
      <c r="A439" s="33"/>
      <c r="B439" s="12"/>
      <c r="C439" s="27"/>
      <c r="D439" s="27"/>
      <c r="E439" s="27"/>
      <c r="F439" s="27"/>
      <c r="G439" s="27"/>
      <c r="H439" s="27"/>
      <c r="I439" s="29"/>
      <c r="J439" s="14"/>
      <c r="K439" s="14"/>
      <c r="L439" s="15"/>
      <c r="M439" s="16"/>
      <c r="N439" s="85" t="s">
        <v>26</v>
      </c>
      <c r="P439" s="85" t="s">
        <v>21</v>
      </c>
      <c r="S439" s="93"/>
    </row>
    <row r="440" spans="1:19" ht="33" hidden="1" customHeight="1">
      <c r="A440" s="33"/>
      <c r="B440" s="12"/>
      <c r="C440" s="27"/>
      <c r="D440" s="27"/>
      <c r="E440" s="27"/>
      <c r="F440" s="27"/>
      <c r="G440" s="27"/>
      <c r="H440" s="27"/>
      <c r="I440" s="29"/>
      <c r="J440" s="14"/>
      <c r="K440" s="14"/>
      <c r="L440" s="15"/>
      <c r="M440" s="16"/>
      <c r="P440" s="85" t="s">
        <v>24</v>
      </c>
      <c r="S440" s="93"/>
    </row>
    <row r="441" spans="1:19" ht="33" hidden="1" customHeight="1">
      <c r="A441" s="33"/>
      <c r="B441" s="12"/>
      <c r="C441" s="27"/>
      <c r="D441" s="27"/>
      <c r="E441" s="27"/>
      <c r="F441" s="27"/>
      <c r="G441" s="27"/>
      <c r="H441" s="27"/>
      <c r="I441" s="29"/>
      <c r="J441" s="14"/>
      <c r="K441" s="14"/>
      <c r="L441" s="15"/>
      <c r="M441" s="16"/>
      <c r="P441" s="85" t="s">
        <v>22</v>
      </c>
      <c r="S441" s="93"/>
    </row>
    <row r="442" spans="1:19" ht="31.5" hidden="1" customHeight="1">
      <c r="A442" s="33"/>
      <c r="B442" s="12"/>
      <c r="C442" s="27"/>
      <c r="D442" s="27"/>
      <c r="E442" s="27"/>
      <c r="F442" s="27"/>
      <c r="G442" s="27"/>
      <c r="H442" s="27"/>
      <c r="I442" s="29"/>
      <c r="J442" s="14"/>
      <c r="K442" s="14"/>
      <c r="L442" s="15"/>
      <c r="M442" s="16"/>
      <c r="N442" s="85" t="s">
        <v>27</v>
      </c>
      <c r="P442" s="85" t="s">
        <v>23</v>
      </c>
      <c r="S442" s="93"/>
    </row>
    <row r="443" spans="1:19" ht="33" hidden="1" customHeight="1">
      <c r="A443" s="33"/>
      <c r="B443" s="12"/>
      <c r="C443" s="27"/>
      <c r="D443" s="27"/>
      <c r="E443" s="27"/>
      <c r="F443" s="27"/>
      <c r="G443" s="27"/>
      <c r="H443" s="27"/>
      <c r="I443" s="29"/>
      <c r="J443" s="14"/>
      <c r="K443" s="14"/>
      <c r="L443" s="15"/>
      <c r="M443" s="16"/>
      <c r="N443" s="85" t="s">
        <v>21</v>
      </c>
      <c r="P443" s="85" t="s">
        <v>25</v>
      </c>
      <c r="S443" s="93"/>
    </row>
    <row r="444" spans="1:19" ht="33" hidden="1" customHeight="1">
      <c r="A444" s="33"/>
      <c r="B444" s="12"/>
      <c r="C444" s="27"/>
      <c r="D444" s="27"/>
      <c r="E444" s="27"/>
      <c r="F444" s="27"/>
      <c r="G444" s="27"/>
      <c r="H444" s="27"/>
      <c r="I444" s="29"/>
      <c r="J444" s="14"/>
      <c r="K444" s="14"/>
      <c r="L444" s="15"/>
      <c r="M444" s="16"/>
      <c r="N444" s="85" t="s">
        <v>24</v>
      </c>
      <c r="S444" s="93"/>
    </row>
    <row r="445" spans="1:19" ht="27" hidden="1" customHeight="1">
      <c r="A445" s="33"/>
      <c r="B445" s="12"/>
      <c r="C445" s="27"/>
      <c r="D445" s="27"/>
      <c r="E445" s="27"/>
      <c r="F445" s="27"/>
      <c r="G445" s="27"/>
      <c r="H445" s="27"/>
      <c r="I445" s="29"/>
      <c r="J445" s="14"/>
      <c r="K445" s="14"/>
      <c r="L445" s="15"/>
      <c r="M445" s="16"/>
      <c r="N445" s="85" t="s">
        <v>22</v>
      </c>
      <c r="P445" s="85" t="s">
        <v>28</v>
      </c>
      <c r="S445" s="93"/>
    </row>
    <row r="446" spans="1:19" ht="27" hidden="1" customHeight="1">
      <c r="A446" s="33"/>
      <c r="B446" s="12"/>
      <c r="C446" s="27"/>
      <c r="D446" s="27"/>
      <c r="E446" s="27"/>
      <c r="F446" s="27"/>
      <c r="G446" s="27"/>
      <c r="H446" s="27"/>
      <c r="I446" s="29"/>
      <c r="J446" s="14"/>
      <c r="K446" s="14"/>
      <c r="L446" s="15"/>
      <c r="M446" s="16"/>
      <c r="N446" s="85" t="s">
        <v>23</v>
      </c>
      <c r="P446" s="85" t="s">
        <v>29</v>
      </c>
      <c r="S446" s="93"/>
    </row>
    <row r="447" spans="1:19" ht="27" hidden="1" customHeight="1">
      <c r="A447" s="33"/>
      <c r="B447" s="12"/>
      <c r="C447" s="27"/>
      <c r="D447" s="27"/>
      <c r="E447" s="27"/>
      <c r="F447" s="27"/>
      <c r="G447" s="27"/>
      <c r="H447" s="27"/>
      <c r="I447" s="29"/>
      <c r="J447" s="14"/>
      <c r="K447" s="14"/>
      <c r="L447" s="15"/>
      <c r="M447" s="16"/>
      <c r="N447" s="85" t="s">
        <v>25</v>
      </c>
      <c r="P447" s="85" t="s">
        <v>31</v>
      </c>
      <c r="S447" s="93"/>
    </row>
    <row r="448" spans="1:19" ht="27" hidden="1" customHeight="1">
      <c r="A448" s="33"/>
      <c r="B448" s="12"/>
      <c r="C448" s="27"/>
      <c r="D448" s="27"/>
      <c r="E448" s="27"/>
      <c r="F448" s="27"/>
      <c r="G448" s="27"/>
      <c r="H448" s="27"/>
      <c r="I448" s="29"/>
      <c r="J448" s="14"/>
      <c r="K448" s="14"/>
      <c r="L448" s="15"/>
      <c r="M448" s="16"/>
      <c r="P448" s="85" t="s">
        <v>32</v>
      </c>
      <c r="S448" s="93"/>
    </row>
    <row r="449" spans="1:19" ht="27" hidden="1" customHeight="1">
      <c r="A449" s="33"/>
      <c r="B449" s="12"/>
      <c r="C449" s="27"/>
      <c r="D449" s="27"/>
      <c r="E449" s="27"/>
      <c r="F449" s="27"/>
      <c r="G449" s="27"/>
      <c r="H449" s="27"/>
      <c r="I449" s="29"/>
      <c r="J449" s="14"/>
      <c r="K449" s="14"/>
      <c r="L449" s="15"/>
      <c r="M449" s="16"/>
      <c r="N449" s="85" t="s">
        <v>28</v>
      </c>
      <c r="P449" s="85" t="s">
        <v>33</v>
      </c>
      <c r="S449" s="93"/>
    </row>
    <row r="450" spans="1:19" ht="27" hidden="1" customHeight="1">
      <c r="A450" s="33"/>
      <c r="B450" s="12"/>
      <c r="C450" s="27"/>
      <c r="D450" s="27"/>
      <c r="E450" s="27"/>
      <c r="F450" s="27"/>
      <c r="G450" s="27"/>
      <c r="H450" s="27"/>
      <c r="I450" s="29"/>
      <c r="J450" s="14"/>
      <c r="K450" s="14"/>
      <c r="L450" s="15"/>
      <c r="M450" s="16"/>
      <c r="N450" s="85" t="s">
        <v>29</v>
      </c>
      <c r="P450" s="85" t="s">
        <v>30</v>
      </c>
      <c r="S450" s="93"/>
    </row>
    <row r="451" spans="1:19" ht="27" hidden="1" customHeight="1">
      <c r="A451" s="33"/>
      <c r="B451" s="12"/>
      <c r="C451" s="27"/>
      <c r="D451" s="27"/>
      <c r="E451" s="27"/>
      <c r="F451" s="27"/>
      <c r="G451" s="27"/>
      <c r="H451" s="27"/>
      <c r="I451" s="29"/>
      <c r="J451" s="14"/>
      <c r="K451" s="14"/>
      <c r="L451" s="15"/>
      <c r="M451" s="16"/>
      <c r="N451" s="85" t="s">
        <v>31</v>
      </c>
      <c r="S451" s="93"/>
    </row>
    <row r="452" spans="1:19" ht="27" hidden="1" customHeight="1">
      <c r="A452" s="33"/>
      <c r="B452" s="12"/>
      <c r="C452" s="27"/>
      <c r="D452" s="27"/>
      <c r="E452" s="27"/>
      <c r="F452" s="27"/>
      <c r="G452" s="27"/>
      <c r="H452" s="27"/>
      <c r="I452" s="29"/>
      <c r="J452" s="14"/>
      <c r="K452" s="14"/>
      <c r="L452" s="15"/>
      <c r="M452" s="16"/>
      <c r="N452" s="85" t="s">
        <v>32</v>
      </c>
      <c r="S452" s="93"/>
    </row>
    <row r="453" spans="1:19" hidden="1">
      <c r="A453" s="33"/>
      <c r="B453" s="12"/>
      <c r="C453" s="27"/>
      <c r="D453" s="27"/>
      <c r="E453" s="27"/>
      <c r="F453" s="27"/>
      <c r="G453" s="27"/>
      <c r="H453" s="27"/>
      <c r="I453" s="29"/>
      <c r="J453" s="14"/>
      <c r="K453" s="14"/>
      <c r="L453" s="15"/>
      <c r="M453" s="16"/>
      <c r="N453" s="85" t="s">
        <v>33</v>
      </c>
      <c r="P453" s="85" t="s">
        <v>34</v>
      </c>
      <c r="S453" s="93"/>
    </row>
    <row r="454" spans="1:19" ht="26.25" hidden="1" customHeight="1">
      <c r="A454" s="33"/>
      <c r="B454" s="12"/>
      <c r="C454" s="27"/>
      <c r="D454" s="27"/>
      <c r="E454" s="27"/>
      <c r="F454" s="27"/>
      <c r="G454" s="27"/>
      <c r="H454" s="27"/>
      <c r="I454" s="29"/>
      <c r="J454" s="14"/>
      <c r="K454" s="14"/>
      <c r="L454" s="15"/>
      <c r="M454" s="16"/>
      <c r="N454" s="85" t="s">
        <v>30</v>
      </c>
      <c r="P454" s="85" t="s">
        <v>29</v>
      </c>
      <c r="S454" s="93"/>
    </row>
    <row r="455" spans="1:19" ht="26.25" hidden="1" customHeight="1">
      <c r="A455" s="33"/>
      <c r="B455" s="12"/>
      <c r="C455" s="27"/>
      <c r="D455" s="27"/>
      <c r="E455" s="27"/>
      <c r="F455" s="27"/>
      <c r="G455" s="27"/>
      <c r="H455" s="27"/>
      <c r="I455" s="29"/>
      <c r="J455" s="14"/>
      <c r="K455" s="14"/>
      <c r="L455" s="15"/>
      <c r="M455" s="16"/>
      <c r="P455" s="85" t="s">
        <v>31</v>
      </c>
      <c r="S455" s="93"/>
    </row>
    <row r="456" spans="1:19" ht="26.25" hidden="1" customHeight="1">
      <c r="A456" s="33"/>
      <c r="B456" s="12"/>
      <c r="C456" s="27"/>
      <c r="D456" s="27"/>
      <c r="E456" s="27"/>
      <c r="F456" s="27"/>
      <c r="G456" s="27"/>
      <c r="H456" s="27"/>
      <c r="I456" s="29"/>
      <c r="J456" s="14"/>
      <c r="K456" s="14"/>
      <c r="L456" s="15"/>
      <c r="M456" s="16"/>
      <c r="P456" s="85" t="s">
        <v>32</v>
      </c>
      <c r="S456" s="93"/>
    </row>
    <row r="457" spans="1:19" ht="26.25" hidden="1" customHeight="1">
      <c r="A457" s="33"/>
      <c r="B457" s="12"/>
      <c r="C457" s="27"/>
      <c r="D457" s="27"/>
      <c r="E457" s="27"/>
      <c r="F457" s="27"/>
      <c r="G457" s="27"/>
      <c r="H457" s="27"/>
      <c r="I457" s="29"/>
      <c r="J457" s="14"/>
      <c r="K457" s="14"/>
      <c r="L457" s="15"/>
      <c r="M457" s="16"/>
      <c r="N457" s="85" t="s">
        <v>34</v>
      </c>
      <c r="P457" s="85" t="s">
        <v>33</v>
      </c>
      <c r="S457" s="93"/>
    </row>
    <row r="458" spans="1:19" ht="26.25" hidden="1" customHeight="1">
      <c r="A458" s="33"/>
      <c r="B458" s="12"/>
      <c r="C458" s="27"/>
      <c r="D458" s="27"/>
      <c r="E458" s="27"/>
      <c r="F458" s="27"/>
      <c r="G458" s="27"/>
      <c r="H458" s="27"/>
      <c r="I458" s="29"/>
      <c r="J458" s="14"/>
      <c r="K458" s="14"/>
      <c r="L458" s="15"/>
      <c r="M458" s="16"/>
      <c r="N458" s="85" t="s">
        <v>29</v>
      </c>
      <c r="P458" s="85" t="s">
        <v>30</v>
      </c>
      <c r="S458" s="93"/>
    </row>
    <row r="459" spans="1:19" ht="26.25" hidden="1" customHeight="1">
      <c r="A459" s="33"/>
      <c r="B459" s="12"/>
      <c r="C459" s="27"/>
      <c r="D459" s="27"/>
      <c r="E459" s="27"/>
      <c r="F459" s="27"/>
      <c r="G459" s="27"/>
      <c r="H459" s="27"/>
      <c r="I459" s="29"/>
      <c r="J459" s="14"/>
      <c r="K459" s="14"/>
      <c r="L459" s="15"/>
      <c r="M459" s="16"/>
      <c r="N459" s="85" t="s">
        <v>31</v>
      </c>
      <c r="S459" s="93"/>
    </row>
    <row r="460" spans="1:19" ht="6" hidden="1" customHeight="1">
      <c r="A460" s="33"/>
      <c r="B460" s="12"/>
      <c r="C460" s="27"/>
      <c r="D460" s="27"/>
      <c r="E460" s="27"/>
      <c r="F460" s="27"/>
      <c r="G460" s="27"/>
      <c r="H460" s="27"/>
      <c r="I460" s="29"/>
      <c r="J460" s="14"/>
      <c r="K460" s="14"/>
      <c r="L460" s="15"/>
      <c r="M460" s="16"/>
      <c r="N460" s="85" t="s">
        <v>32</v>
      </c>
      <c r="S460" s="93"/>
    </row>
    <row r="461" spans="1:19" ht="27.75" hidden="1" customHeight="1">
      <c r="A461" s="33"/>
      <c r="B461" s="12"/>
      <c r="C461" s="27"/>
      <c r="D461" s="27"/>
      <c r="E461" s="27"/>
      <c r="F461" s="27"/>
      <c r="G461" s="27"/>
      <c r="H461" s="27"/>
      <c r="I461" s="29"/>
      <c r="J461" s="14"/>
      <c r="K461" s="14"/>
      <c r="L461" s="15"/>
      <c r="M461" s="16"/>
      <c r="N461" s="85" t="s">
        <v>33</v>
      </c>
      <c r="P461" s="85" t="s">
        <v>35</v>
      </c>
      <c r="S461" s="93"/>
    </row>
    <row r="462" spans="1:19" ht="27.75" hidden="1" customHeight="1">
      <c r="A462" s="33"/>
      <c r="B462" s="12"/>
      <c r="C462" s="27"/>
      <c r="D462" s="27"/>
      <c r="E462" s="27"/>
      <c r="F462" s="27"/>
      <c r="G462" s="27"/>
      <c r="H462" s="27"/>
      <c r="I462" s="29"/>
      <c r="J462" s="14"/>
      <c r="K462" s="14"/>
      <c r="L462" s="15"/>
      <c r="M462" s="16"/>
      <c r="N462" s="85" t="s">
        <v>30</v>
      </c>
      <c r="P462" s="85" t="s">
        <v>29</v>
      </c>
      <c r="S462" s="93"/>
    </row>
    <row r="463" spans="1:19" ht="27.75" hidden="1" customHeight="1">
      <c r="A463" s="33"/>
      <c r="B463" s="12"/>
      <c r="C463" s="27"/>
      <c r="D463" s="27"/>
      <c r="E463" s="27"/>
      <c r="F463" s="27"/>
      <c r="G463" s="27"/>
      <c r="H463" s="27"/>
      <c r="I463" s="29"/>
      <c r="J463" s="14"/>
      <c r="K463" s="14"/>
      <c r="L463" s="15"/>
      <c r="M463" s="16"/>
      <c r="P463" s="85" t="s">
        <v>31</v>
      </c>
      <c r="S463" s="93"/>
    </row>
    <row r="464" spans="1:19" ht="27.75" hidden="1" customHeight="1">
      <c r="A464" s="33"/>
      <c r="B464" s="12"/>
      <c r="C464" s="27"/>
      <c r="D464" s="27"/>
      <c r="E464" s="27"/>
      <c r="F464" s="27"/>
      <c r="G464" s="27"/>
      <c r="H464" s="27"/>
      <c r="I464" s="29"/>
      <c r="J464" s="14"/>
      <c r="K464" s="14"/>
      <c r="L464" s="15"/>
      <c r="M464" s="16"/>
      <c r="P464" s="85" t="s">
        <v>32</v>
      </c>
      <c r="S464" s="93"/>
    </row>
    <row r="465" spans="1:19" ht="27.75" hidden="1" customHeight="1">
      <c r="A465" s="33"/>
      <c r="B465" s="12"/>
      <c r="C465" s="27"/>
      <c r="D465" s="27"/>
      <c r="E465" s="27"/>
      <c r="F465" s="27"/>
      <c r="G465" s="27"/>
      <c r="H465" s="27"/>
      <c r="I465" s="29"/>
      <c r="J465" s="14"/>
      <c r="K465" s="14"/>
      <c r="L465" s="15"/>
      <c r="M465" s="16"/>
      <c r="N465" s="85" t="s">
        <v>35</v>
      </c>
      <c r="P465" s="85" t="s">
        <v>33</v>
      </c>
      <c r="S465" s="93"/>
    </row>
    <row r="466" spans="1:19" ht="27.75" hidden="1" customHeight="1">
      <c r="A466" s="33"/>
      <c r="B466" s="12"/>
      <c r="C466" s="27"/>
      <c r="D466" s="27"/>
      <c r="E466" s="27"/>
      <c r="F466" s="27"/>
      <c r="G466" s="27"/>
      <c r="H466" s="27"/>
      <c r="I466" s="29"/>
      <c r="J466" s="14"/>
      <c r="K466" s="14"/>
      <c r="L466" s="15"/>
      <c r="M466" s="16"/>
      <c r="N466" s="85" t="s">
        <v>29</v>
      </c>
      <c r="P466" s="85" t="s">
        <v>30</v>
      </c>
      <c r="S466" s="93"/>
    </row>
    <row r="467" spans="1:19" ht="27.75" hidden="1" customHeight="1">
      <c r="A467" s="33"/>
      <c r="B467" s="12"/>
      <c r="C467" s="27"/>
      <c r="D467" s="27"/>
      <c r="E467" s="27"/>
      <c r="F467" s="27"/>
      <c r="G467" s="27"/>
      <c r="H467" s="27"/>
      <c r="I467" s="29"/>
      <c r="J467" s="14"/>
      <c r="K467" s="14"/>
      <c r="L467" s="15"/>
      <c r="M467" s="16"/>
      <c r="N467" s="85" t="s">
        <v>31</v>
      </c>
      <c r="S467" s="93"/>
    </row>
    <row r="468" spans="1:19" hidden="1">
      <c r="A468" s="33"/>
      <c r="B468" s="12"/>
      <c r="C468" s="27"/>
      <c r="D468" s="27"/>
      <c r="E468" s="27"/>
      <c r="F468" s="27"/>
      <c r="G468" s="27"/>
      <c r="H468" s="27"/>
      <c r="I468" s="29"/>
      <c r="J468" s="14"/>
      <c r="K468" s="14"/>
      <c r="L468" s="15"/>
      <c r="M468" s="16"/>
      <c r="N468" s="85" t="s">
        <v>32</v>
      </c>
      <c r="S468" s="93"/>
    </row>
    <row r="469" spans="1:19" ht="29.25" hidden="1" customHeight="1">
      <c r="A469" s="33"/>
      <c r="B469" s="12"/>
      <c r="C469" s="27"/>
      <c r="D469" s="27"/>
      <c r="E469" s="27"/>
      <c r="F469" s="27"/>
      <c r="G469" s="27"/>
      <c r="H469" s="27"/>
      <c r="I469" s="29"/>
      <c r="J469" s="14"/>
      <c r="K469" s="14"/>
      <c r="L469" s="15"/>
      <c r="M469" s="16"/>
      <c r="N469" s="85" t="s">
        <v>33</v>
      </c>
      <c r="P469" s="85" t="s">
        <v>36</v>
      </c>
      <c r="S469" s="93"/>
    </row>
    <row r="470" spans="1:19" ht="29.25" hidden="1" customHeight="1">
      <c r="A470" s="33"/>
      <c r="B470" s="12"/>
      <c r="C470" s="27"/>
      <c r="D470" s="27"/>
      <c r="E470" s="27"/>
      <c r="F470" s="27"/>
      <c r="G470" s="27"/>
      <c r="H470" s="27"/>
      <c r="I470" s="29"/>
      <c r="J470" s="14"/>
      <c r="K470" s="14"/>
      <c r="L470" s="15"/>
      <c r="M470" s="16"/>
      <c r="N470" s="85" t="s">
        <v>30</v>
      </c>
      <c r="P470" s="85" t="s">
        <v>29</v>
      </c>
      <c r="S470" s="93"/>
    </row>
    <row r="471" spans="1:19" ht="29.25" hidden="1" customHeight="1">
      <c r="A471" s="33"/>
      <c r="B471" s="12" t="s">
        <v>18</v>
      </c>
      <c r="C471" s="27"/>
      <c r="D471" s="27"/>
      <c r="E471" s="27"/>
      <c r="F471" s="27"/>
      <c r="G471" s="27"/>
      <c r="H471" s="27"/>
      <c r="I471" s="29"/>
      <c r="J471" s="14"/>
      <c r="K471" s="14"/>
      <c r="L471" s="15"/>
      <c r="M471" s="16"/>
      <c r="P471" s="85" t="s">
        <v>31</v>
      </c>
      <c r="S471" s="93"/>
    </row>
    <row r="472" spans="1:19" ht="29.25" hidden="1" customHeight="1">
      <c r="A472" s="33"/>
      <c r="B472" s="12"/>
      <c r="C472" s="27"/>
      <c r="D472" s="27"/>
      <c r="E472" s="27"/>
      <c r="F472" s="27"/>
      <c r="G472" s="27">
        <v>-450</v>
      </c>
      <c r="H472" s="27"/>
      <c r="I472" s="29"/>
      <c r="J472" s="14"/>
      <c r="K472" s="14"/>
      <c r="L472" s="15"/>
      <c r="M472" s="16"/>
      <c r="P472" s="85" t="s">
        <v>32</v>
      </c>
      <c r="S472" s="93"/>
    </row>
    <row r="473" spans="1:19" ht="29.25" hidden="1" customHeight="1">
      <c r="A473" s="33"/>
      <c r="B473" s="12" t="s">
        <v>19</v>
      </c>
      <c r="C473" s="27"/>
      <c r="D473" s="27"/>
      <c r="E473" s="27"/>
      <c r="F473" s="27"/>
      <c r="G473" s="27"/>
      <c r="H473" s="27"/>
      <c r="I473" s="29"/>
      <c r="J473" s="14"/>
      <c r="K473" s="14"/>
      <c r="L473" s="15"/>
      <c r="M473" s="16"/>
      <c r="N473" s="85" t="s">
        <v>36</v>
      </c>
      <c r="P473" s="85" t="s">
        <v>33</v>
      </c>
      <c r="S473" s="93"/>
    </row>
    <row r="474" spans="1:19" ht="29.25" hidden="1" customHeight="1">
      <c r="A474" s="33"/>
      <c r="B474" s="12" t="s">
        <v>20</v>
      </c>
      <c r="C474" s="27"/>
      <c r="D474" s="27"/>
      <c r="E474" s="27"/>
      <c r="F474" s="27"/>
      <c r="G474" s="27"/>
      <c r="H474" s="27"/>
      <c r="I474" s="29">
        <f>SUM(E475:G475)</f>
        <v>920</v>
      </c>
      <c r="J474" s="14"/>
      <c r="K474" s="14"/>
      <c r="L474" s="15"/>
      <c r="M474" s="16"/>
      <c r="N474" s="85" t="s">
        <v>29</v>
      </c>
      <c r="P474" s="85" t="s">
        <v>30</v>
      </c>
      <c r="S474" s="93"/>
    </row>
    <row r="475" spans="1:19" ht="29.25" hidden="1" customHeight="1">
      <c r="A475" s="33"/>
      <c r="B475" s="12"/>
      <c r="C475" s="27"/>
      <c r="D475" s="27"/>
      <c r="E475" s="27">
        <v>920</v>
      </c>
      <c r="F475" s="27"/>
      <c r="G475" s="27"/>
      <c r="H475" s="27"/>
      <c r="I475" s="29">
        <f>SUM(I337:I474)</f>
        <v>920</v>
      </c>
      <c r="J475" s="14"/>
      <c r="K475" s="14"/>
      <c r="L475" s="15"/>
      <c r="M475" s="16"/>
      <c r="N475" s="85" t="s">
        <v>31</v>
      </c>
      <c r="S475" s="93"/>
    </row>
    <row r="476" spans="1:19" hidden="1">
      <c r="A476" s="33"/>
      <c r="B476" s="12" t="s">
        <v>26</v>
      </c>
      <c r="C476" s="27"/>
      <c r="D476" s="27" t="e">
        <f>#REF!-#REF!</f>
        <v>#REF!</v>
      </c>
      <c r="E476" s="27"/>
      <c r="F476" s="27">
        <v>920</v>
      </c>
      <c r="G476" s="27"/>
      <c r="H476" s="27"/>
      <c r="I476" s="29"/>
      <c r="J476" s="14"/>
      <c r="K476" s="14"/>
      <c r="L476" s="42">
        <f>D188/25000</f>
        <v>-0.51888000000000001</v>
      </c>
      <c r="M476" s="16"/>
      <c r="N476" s="85" t="s">
        <v>32</v>
      </c>
      <c r="S476" s="93"/>
    </row>
    <row r="477" spans="1:19" hidden="1">
      <c r="A477" s="33"/>
      <c r="B477" s="12"/>
      <c r="C477" s="27"/>
      <c r="D477" s="27"/>
      <c r="E477" s="27"/>
      <c r="F477" s="27"/>
      <c r="G477" s="27"/>
      <c r="H477" s="27"/>
      <c r="I477" s="29"/>
      <c r="J477" s="14"/>
      <c r="K477" s="14"/>
      <c r="L477" s="15"/>
      <c r="M477" s="16"/>
      <c r="N477" s="85" t="s">
        <v>33</v>
      </c>
      <c r="P477" s="85" t="s">
        <v>37</v>
      </c>
      <c r="S477" s="93"/>
    </row>
    <row r="478" spans="1:19">
      <c r="A478" s="33"/>
      <c r="B478" s="12"/>
      <c r="C478" s="27"/>
      <c r="D478" s="27"/>
      <c r="E478" s="27"/>
      <c r="F478" s="27"/>
      <c r="G478" s="27"/>
      <c r="H478" s="27"/>
      <c r="I478" s="29"/>
      <c r="J478" s="14"/>
      <c r="K478" s="14"/>
      <c r="L478" s="15"/>
      <c r="M478" s="16"/>
      <c r="N478" s="85" t="s">
        <v>30</v>
      </c>
      <c r="P478" s="85" t="s">
        <v>29</v>
      </c>
      <c r="S478" s="93"/>
    </row>
    <row r="479" spans="1:19">
      <c r="A479" s="33"/>
      <c r="B479" s="12" t="s">
        <v>27</v>
      </c>
      <c r="C479" s="27"/>
      <c r="D479" s="27"/>
      <c r="E479" s="27"/>
      <c r="F479" s="27"/>
      <c r="G479" s="27"/>
      <c r="H479" s="27"/>
      <c r="I479" s="29"/>
      <c r="J479" s="14"/>
      <c r="K479" s="14"/>
      <c r="L479" s="15"/>
      <c r="M479" s="16"/>
      <c r="P479" s="85" t="s">
        <v>31</v>
      </c>
      <c r="S479" s="93"/>
    </row>
    <row r="480" spans="1:19">
      <c r="A480" s="33"/>
      <c r="B480" s="11" t="s">
        <v>21</v>
      </c>
      <c r="C480" s="27"/>
      <c r="D480" s="27"/>
      <c r="E480" s="27"/>
      <c r="F480" s="27"/>
      <c r="G480" s="27"/>
      <c r="H480" s="27"/>
      <c r="I480" s="27"/>
      <c r="J480" s="14"/>
      <c r="K480" s="14"/>
      <c r="L480" s="15"/>
      <c r="M480" s="16"/>
      <c r="P480" s="85" t="s">
        <v>32</v>
      </c>
      <c r="S480" s="93"/>
    </row>
    <row r="481" spans="1:19">
      <c r="A481" s="33"/>
      <c r="B481" s="11" t="s">
        <v>24</v>
      </c>
      <c r="C481" s="27"/>
      <c r="D481" s="27"/>
      <c r="E481" s="27"/>
      <c r="F481" s="27"/>
      <c r="G481" s="27"/>
      <c r="H481" s="27"/>
      <c r="I481" s="27"/>
      <c r="J481" s="14"/>
      <c r="K481" s="14"/>
      <c r="L481" s="15"/>
      <c r="M481" s="16"/>
      <c r="N481" s="85" t="s">
        <v>37</v>
      </c>
      <c r="P481" s="85" t="s">
        <v>33</v>
      </c>
      <c r="S481" s="93"/>
    </row>
    <row r="482" spans="1:19">
      <c r="A482" s="33"/>
      <c r="B482" s="11" t="s">
        <v>22</v>
      </c>
      <c r="C482" s="27"/>
      <c r="D482" s="27"/>
      <c r="E482" s="27"/>
      <c r="F482" s="27"/>
      <c r="G482" s="27"/>
      <c r="H482" s="27"/>
      <c r="I482" s="27"/>
      <c r="J482" s="14"/>
      <c r="K482" s="14"/>
      <c r="L482" s="15"/>
      <c r="M482" s="16"/>
      <c r="N482" s="85" t="s">
        <v>29</v>
      </c>
      <c r="P482" s="85" t="s">
        <v>30</v>
      </c>
      <c r="S482" s="93"/>
    </row>
    <row r="483" spans="1:19" ht="14.25" customHeight="1">
      <c r="A483" s="34">
        <v>43131</v>
      </c>
      <c r="B483" s="11" t="s">
        <v>23</v>
      </c>
      <c r="C483" s="27"/>
      <c r="D483" s="27"/>
      <c r="E483" s="27"/>
      <c r="F483" s="27"/>
      <c r="G483" s="27"/>
      <c r="H483" s="27"/>
      <c r="I483" s="27"/>
      <c r="J483" s="14"/>
      <c r="K483" s="14"/>
      <c r="L483" s="15"/>
      <c r="M483" s="16"/>
      <c r="N483" s="85" t="s">
        <v>31</v>
      </c>
      <c r="S483" s="93"/>
    </row>
    <row r="484" spans="1:19" hidden="1">
      <c r="A484" s="33"/>
      <c r="B484" s="11" t="s">
        <v>25</v>
      </c>
      <c r="C484" s="27"/>
      <c r="D484" s="27"/>
      <c r="E484" s="27"/>
      <c r="F484" s="27"/>
      <c r="G484" s="27"/>
      <c r="H484" s="27"/>
      <c r="I484" s="27"/>
      <c r="J484" s="14"/>
      <c r="K484" s="14"/>
      <c r="L484" s="15"/>
      <c r="M484" s="16"/>
      <c r="N484" s="85" t="s">
        <v>32</v>
      </c>
      <c r="S484" s="93"/>
    </row>
    <row r="485" spans="1:19" hidden="1">
      <c r="A485" s="33"/>
      <c r="B485" s="12"/>
      <c r="C485" s="27"/>
      <c r="D485" s="27"/>
      <c r="E485" s="27"/>
      <c r="F485" s="27"/>
      <c r="G485" s="27"/>
      <c r="H485" s="27"/>
      <c r="I485" s="27"/>
      <c r="J485" s="14"/>
      <c r="K485" s="14"/>
      <c r="L485" s="15"/>
      <c r="M485" s="16"/>
      <c r="N485" s="85" t="s">
        <v>33</v>
      </c>
      <c r="S485" s="93"/>
    </row>
    <row r="486" spans="1:19" hidden="1">
      <c r="A486" s="33"/>
      <c r="B486" s="12" t="s">
        <v>28</v>
      </c>
      <c r="C486" s="27"/>
      <c r="D486" s="27"/>
      <c r="E486" s="27"/>
      <c r="F486" s="27"/>
      <c r="G486" s="27"/>
      <c r="H486" s="27"/>
      <c r="I486" s="27"/>
      <c r="J486" s="14"/>
      <c r="K486" s="14"/>
      <c r="L486" s="15"/>
      <c r="M486" s="16"/>
      <c r="N486" s="85" t="s">
        <v>30</v>
      </c>
      <c r="P486" s="85" t="s">
        <v>39</v>
      </c>
      <c r="S486" s="93"/>
    </row>
    <row r="487" spans="1:19" hidden="1">
      <c r="A487" s="33"/>
      <c r="B487" s="12" t="s">
        <v>29</v>
      </c>
      <c r="C487" s="27"/>
      <c r="D487" s="27"/>
      <c r="E487" s="27"/>
      <c r="F487" s="27"/>
      <c r="G487" s="27"/>
      <c r="H487" s="27"/>
      <c r="I487" s="27"/>
      <c r="J487" s="14"/>
      <c r="K487" s="14"/>
      <c r="L487" s="15"/>
      <c r="M487" s="16"/>
      <c r="P487" s="85" t="s">
        <v>42</v>
      </c>
      <c r="S487" s="93"/>
    </row>
    <row r="488" spans="1:19" hidden="1">
      <c r="A488" s="33"/>
      <c r="B488" s="12" t="s">
        <v>31</v>
      </c>
      <c r="C488" s="27"/>
      <c r="D488" s="27"/>
      <c r="E488" s="27"/>
      <c r="F488" s="27"/>
      <c r="G488" s="27"/>
      <c r="H488" s="27"/>
      <c r="I488" s="27"/>
      <c r="J488" s="14"/>
      <c r="K488" s="14"/>
      <c r="L488" s="15"/>
      <c r="M488" s="16"/>
      <c r="P488" s="85" t="s">
        <v>40</v>
      </c>
      <c r="S488" s="93"/>
    </row>
    <row r="489" spans="1:19" hidden="1">
      <c r="A489" s="33" t="s">
        <v>50</v>
      </c>
      <c r="B489" s="12" t="s">
        <v>32</v>
      </c>
      <c r="C489" s="28"/>
      <c r="D489" s="27"/>
      <c r="E489" s="27"/>
      <c r="F489" s="27"/>
      <c r="G489" s="27"/>
      <c r="H489" s="27"/>
      <c r="I489" s="27"/>
      <c r="J489" s="14"/>
      <c r="K489" s="14"/>
      <c r="L489" s="15"/>
      <c r="M489" s="16"/>
      <c r="P489" s="85" t="s">
        <v>43</v>
      </c>
      <c r="S489" s="93"/>
    </row>
    <row r="490" spans="1:19" hidden="1">
      <c r="A490" s="35">
        <v>43133</v>
      </c>
      <c r="B490" s="12" t="s">
        <v>33</v>
      </c>
      <c r="C490" s="27"/>
      <c r="D490" s="27"/>
      <c r="E490" s="27"/>
      <c r="F490" s="27"/>
      <c r="G490" s="27"/>
      <c r="H490" s="27"/>
      <c r="I490" s="27"/>
      <c r="J490" s="14"/>
      <c r="K490" s="14"/>
      <c r="L490" s="15"/>
      <c r="M490" s="16"/>
      <c r="N490" s="85" t="s">
        <v>39</v>
      </c>
      <c r="P490" s="85" t="s">
        <v>41</v>
      </c>
      <c r="S490" s="93"/>
    </row>
    <row r="491" spans="1:19" hidden="1">
      <c r="A491" s="33"/>
      <c r="B491" s="12" t="s">
        <v>30</v>
      </c>
      <c r="C491" s="27"/>
      <c r="D491" s="27"/>
      <c r="E491" s="27"/>
      <c r="F491" s="27"/>
      <c r="G491" s="27"/>
      <c r="H491" s="27"/>
      <c r="I491" s="27"/>
      <c r="J491" s="14"/>
      <c r="K491" s="14"/>
      <c r="L491" s="15"/>
      <c r="M491" s="16"/>
      <c r="N491" s="85" t="s">
        <v>42</v>
      </c>
      <c r="S491" s="93"/>
    </row>
    <row r="492" spans="1:19" hidden="1">
      <c r="A492" s="35">
        <v>43140</v>
      </c>
      <c r="B492" s="12"/>
      <c r="C492" s="27"/>
      <c r="D492" s="27"/>
      <c r="E492" s="27"/>
      <c r="F492" s="27"/>
      <c r="G492" s="27"/>
      <c r="H492" s="27"/>
      <c r="I492" s="27"/>
      <c r="J492" s="14"/>
      <c r="K492" s="14"/>
      <c r="L492" s="15"/>
      <c r="M492" s="16"/>
      <c r="N492" s="85" t="s">
        <v>40</v>
      </c>
      <c r="P492" s="85" t="s">
        <v>44</v>
      </c>
      <c r="S492" s="93"/>
    </row>
    <row r="493" spans="1:19" hidden="1">
      <c r="A493" s="33"/>
      <c r="B493" s="12"/>
      <c r="C493" s="29"/>
      <c r="D493" s="27"/>
      <c r="E493" s="27"/>
      <c r="F493" s="27"/>
      <c r="G493" s="27"/>
      <c r="H493" s="27"/>
      <c r="I493" s="27"/>
      <c r="J493" s="14"/>
      <c r="K493" s="14"/>
      <c r="L493" s="15"/>
      <c r="M493" s="16"/>
      <c r="N493" s="85" t="s">
        <v>43</v>
      </c>
      <c r="P493" s="85" t="s">
        <v>49</v>
      </c>
      <c r="S493" s="93"/>
    </row>
    <row r="494" spans="1:19" hidden="1">
      <c r="A494" s="35">
        <v>43140</v>
      </c>
      <c r="B494" s="12" t="s">
        <v>34</v>
      </c>
      <c r="C494" s="27"/>
      <c r="D494" s="27" t="e">
        <f>#REF!</f>
        <v>#REF!</v>
      </c>
      <c r="E494" s="27"/>
      <c r="F494" s="27"/>
      <c r="G494" s="27"/>
      <c r="H494" s="27"/>
      <c r="I494" s="27"/>
      <c r="J494" s="14"/>
      <c r="K494" s="14"/>
      <c r="L494" s="15"/>
      <c r="M494" s="16"/>
      <c r="N494" s="85" t="s">
        <v>41</v>
      </c>
      <c r="S494" s="93"/>
    </row>
    <row r="495" spans="1:19" hidden="1">
      <c r="A495" s="33"/>
      <c r="B495" s="12" t="s">
        <v>29</v>
      </c>
      <c r="C495" s="27"/>
      <c r="D495" s="27"/>
      <c r="E495" s="27"/>
      <c r="F495" s="27"/>
      <c r="G495" s="27"/>
      <c r="H495" s="27"/>
      <c r="I495" s="27"/>
      <c r="J495" s="14"/>
      <c r="K495" s="14"/>
      <c r="L495" s="15"/>
      <c r="M495" s="16"/>
      <c r="P495" s="85" t="e">
        <f>#REF!</f>
        <v>#REF!</v>
      </c>
      <c r="S495" s="93"/>
    </row>
    <row r="496" spans="1:19" hidden="1">
      <c r="A496" s="35">
        <v>43148</v>
      </c>
      <c r="B496" s="12" t="s">
        <v>31</v>
      </c>
      <c r="C496" s="27"/>
      <c r="D496" s="27"/>
      <c r="E496" s="27"/>
      <c r="F496" s="27"/>
      <c r="G496" s="27"/>
      <c r="H496" s="27"/>
      <c r="I496" s="27"/>
      <c r="J496" s="14"/>
      <c r="K496" s="14"/>
      <c r="L496" s="15"/>
      <c r="M496" s="16"/>
      <c r="N496" s="85" t="s">
        <v>44</v>
      </c>
      <c r="S496" s="93"/>
    </row>
    <row r="497" spans="1:20" hidden="1">
      <c r="A497" s="33"/>
      <c r="B497" s="12" t="s">
        <v>32</v>
      </c>
      <c r="C497" s="28"/>
      <c r="D497" s="27"/>
      <c r="E497" s="27"/>
      <c r="F497" s="27"/>
      <c r="G497" s="27"/>
      <c r="H497" s="27"/>
      <c r="I497" s="27"/>
      <c r="J497" s="14"/>
      <c r="K497" s="14"/>
      <c r="L497" s="15"/>
      <c r="M497" s="16"/>
      <c r="N497" s="85" t="s">
        <v>49</v>
      </c>
      <c r="P497" s="85">
        <v>12250</v>
      </c>
      <c r="S497" s="93"/>
    </row>
    <row r="498" spans="1:20" ht="3.75" hidden="1" customHeight="1">
      <c r="A498" s="35">
        <v>43155</v>
      </c>
      <c r="B498" s="12" t="s">
        <v>33</v>
      </c>
      <c r="C498" s="27"/>
      <c r="D498" s="27"/>
      <c r="E498" s="27"/>
      <c r="F498" s="27"/>
      <c r="G498" s="27"/>
      <c r="H498" s="27"/>
      <c r="I498" s="27"/>
      <c r="J498" s="14"/>
      <c r="K498" s="14"/>
      <c r="L498" s="15"/>
      <c r="M498" s="16"/>
      <c r="S498" s="93"/>
    </row>
    <row r="499" spans="1:20" hidden="1">
      <c r="A499" s="33"/>
      <c r="B499" s="12" t="s">
        <v>30</v>
      </c>
      <c r="C499" s="27"/>
      <c r="D499" s="27"/>
      <c r="E499" s="27"/>
      <c r="F499" s="27"/>
      <c r="G499" s="27"/>
      <c r="H499" s="27"/>
      <c r="I499" s="27"/>
      <c r="J499" s="14"/>
      <c r="K499" s="14"/>
      <c r="L499" s="15"/>
      <c r="M499" s="16"/>
      <c r="N499" s="85" t="e">
        <f>#REF!</f>
        <v>#REF!</v>
      </c>
      <c r="P499" s="85">
        <v>12400</v>
      </c>
      <c r="S499" s="95"/>
    </row>
    <row r="500" spans="1:20" hidden="1">
      <c r="A500" s="35">
        <v>43159</v>
      </c>
      <c r="B500" s="12"/>
      <c r="C500" s="27"/>
      <c r="D500" s="27"/>
      <c r="E500" s="27"/>
      <c r="F500" s="27"/>
      <c r="G500" s="27"/>
      <c r="H500" s="27"/>
      <c r="I500" s="27"/>
      <c r="J500" s="14"/>
      <c r="K500" s="14"/>
      <c r="L500" s="15"/>
      <c r="M500" s="16"/>
      <c r="S500" s="95"/>
    </row>
    <row r="501" spans="1:20" hidden="1">
      <c r="A501" s="33"/>
      <c r="B501" s="12"/>
      <c r="C501" s="29"/>
      <c r="D501" s="27"/>
      <c r="E501" s="27"/>
      <c r="F501" s="27"/>
      <c r="G501" s="27"/>
      <c r="H501" s="27"/>
      <c r="I501" s="27"/>
      <c r="J501" s="14"/>
      <c r="K501" s="14"/>
      <c r="L501" s="15"/>
      <c r="M501" s="16"/>
      <c r="N501" s="85">
        <v>12250</v>
      </c>
      <c r="P501" s="85" t="e">
        <f>#REF!</f>
        <v>#REF!</v>
      </c>
      <c r="S501" s="95"/>
    </row>
    <row r="502" spans="1:20" hidden="1">
      <c r="A502" s="33" t="s">
        <v>53</v>
      </c>
      <c r="B502" s="12" t="s">
        <v>35</v>
      </c>
      <c r="C502" s="27"/>
      <c r="D502" s="27" t="e">
        <f>#REF!</f>
        <v>#REF!</v>
      </c>
      <c r="E502" s="27"/>
      <c r="F502" s="27"/>
      <c r="G502" s="27"/>
      <c r="H502" s="27"/>
      <c r="I502" s="27"/>
      <c r="J502" s="14"/>
      <c r="K502" s="14"/>
      <c r="L502" s="15"/>
      <c r="M502" s="16"/>
      <c r="S502" s="95"/>
    </row>
    <row r="503" spans="1:20" hidden="1">
      <c r="A503" s="35">
        <v>43133</v>
      </c>
      <c r="B503" s="12" t="s">
        <v>29</v>
      </c>
      <c r="C503" s="27"/>
      <c r="D503" s="27"/>
      <c r="E503" s="27"/>
      <c r="F503" s="27"/>
      <c r="G503" s="27"/>
      <c r="H503" s="27"/>
      <c r="I503" s="27"/>
      <c r="J503" s="14"/>
      <c r="K503" s="14"/>
      <c r="L503" s="15"/>
      <c r="M503" s="16"/>
      <c r="N503" s="85">
        <v>12400</v>
      </c>
      <c r="P503" s="85">
        <v>12200</v>
      </c>
      <c r="S503" s="95"/>
    </row>
    <row r="504" spans="1:20" hidden="1">
      <c r="A504" s="33"/>
      <c r="B504" s="12" t="s">
        <v>31</v>
      </c>
      <c r="C504" s="27"/>
      <c r="D504" s="27"/>
      <c r="E504" s="27"/>
      <c r="F504" s="27"/>
      <c r="G504" s="27"/>
      <c r="H504" s="27"/>
      <c r="I504" s="27"/>
      <c r="J504" s="14"/>
      <c r="K504" s="14"/>
      <c r="L504" s="15"/>
      <c r="M504" s="16"/>
      <c r="S504" s="95"/>
      <c r="T504" s="17"/>
    </row>
    <row r="505" spans="1:20" hidden="1">
      <c r="A505" s="35">
        <v>43140</v>
      </c>
      <c r="B505" s="12" t="s">
        <v>32</v>
      </c>
      <c r="C505" s="28"/>
      <c r="D505" s="27"/>
      <c r="E505" s="27"/>
      <c r="F505" s="27"/>
      <c r="G505" s="27"/>
      <c r="H505" s="27"/>
      <c r="I505" s="27"/>
      <c r="J505" s="14"/>
      <c r="K505" s="14"/>
      <c r="L505" s="15"/>
      <c r="M505" s="16"/>
      <c r="N505" s="85" t="e">
        <f>#REF!</f>
        <v>#REF!</v>
      </c>
      <c r="P505" s="85" t="s">
        <v>44</v>
      </c>
      <c r="S505" s="95"/>
      <c r="T505" s="17"/>
    </row>
    <row r="506" spans="1:20" hidden="1">
      <c r="A506" s="33"/>
      <c r="B506" s="12" t="s">
        <v>33</v>
      </c>
      <c r="C506" s="27"/>
      <c r="D506" s="27"/>
      <c r="E506" s="27"/>
      <c r="F506" s="27"/>
      <c r="G506" s="27"/>
      <c r="H506" s="27"/>
      <c r="I506" s="27"/>
      <c r="J506" s="14"/>
      <c r="K506" s="14"/>
      <c r="L506" s="15"/>
      <c r="M506" s="16"/>
      <c r="P506" s="85" t="s">
        <v>51</v>
      </c>
      <c r="S506" s="95"/>
      <c r="T506" s="17"/>
    </row>
    <row r="507" spans="1:20" hidden="1">
      <c r="A507" s="35">
        <v>43140</v>
      </c>
      <c r="B507" s="12" t="s">
        <v>30</v>
      </c>
      <c r="C507" s="27"/>
      <c r="D507" s="27"/>
      <c r="E507" s="27"/>
      <c r="F507" s="27"/>
      <c r="G507" s="27"/>
      <c r="H507" s="27"/>
      <c r="I507" s="27"/>
      <c r="J507" s="14"/>
      <c r="K507" s="14"/>
      <c r="L507" s="15"/>
      <c r="M507" s="16"/>
      <c r="N507" s="85">
        <v>12200</v>
      </c>
      <c r="S507" s="95"/>
      <c r="T507" s="17"/>
    </row>
    <row r="508" spans="1:20" hidden="1">
      <c r="A508" s="33"/>
      <c r="B508" s="12"/>
      <c r="C508" s="27"/>
      <c r="D508" s="27"/>
      <c r="E508" s="27"/>
      <c r="F508" s="27"/>
      <c r="G508" s="27"/>
      <c r="H508" s="27"/>
      <c r="I508" s="27"/>
      <c r="J508" s="14"/>
      <c r="K508" s="14"/>
      <c r="L508" s="15"/>
      <c r="M508" s="16"/>
      <c r="P508" s="85" t="e">
        <f>#REF!</f>
        <v>#REF!</v>
      </c>
      <c r="S508" s="95"/>
      <c r="T508" s="17"/>
    </row>
    <row r="509" spans="1:20" hidden="1">
      <c r="A509" s="35">
        <v>43148</v>
      </c>
      <c r="B509" s="12"/>
      <c r="C509" s="29"/>
      <c r="D509" s="27"/>
      <c r="E509" s="27"/>
      <c r="F509" s="27"/>
      <c r="G509" s="27"/>
      <c r="H509" s="27"/>
      <c r="I509" s="27"/>
      <c r="J509" s="14"/>
      <c r="K509" s="14"/>
      <c r="L509" s="15"/>
      <c r="M509" s="16"/>
      <c r="N509" s="85" t="s">
        <v>44</v>
      </c>
      <c r="Q509" s="93"/>
      <c r="R509" s="93"/>
      <c r="S509" s="95"/>
      <c r="T509" s="17"/>
    </row>
    <row r="510" spans="1:20" hidden="1">
      <c r="A510" s="33"/>
      <c r="B510" s="12" t="s">
        <v>36</v>
      </c>
      <c r="C510" s="27"/>
      <c r="D510" s="27" t="e">
        <f>#REF!</f>
        <v>#REF!</v>
      </c>
      <c r="E510" s="27"/>
      <c r="F510" s="27"/>
      <c r="G510" s="27"/>
      <c r="H510" s="27"/>
      <c r="I510" s="27"/>
      <c r="J510" s="14"/>
      <c r="K510" s="14"/>
      <c r="L510" s="15"/>
      <c r="M510" s="16"/>
      <c r="N510" s="85" t="s">
        <v>51</v>
      </c>
      <c r="P510" s="85" t="e">
        <f>#REF!</f>
        <v>#REF!</v>
      </c>
      <c r="Q510" s="93"/>
      <c r="R510" s="93"/>
      <c r="S510" s="95"/>
      <c r="T510" s="17"/>
    </row>
    <row r="511" spans="1:20" hidden="1">
      <c r="A511" s="35">
        <v>43155</v>
      </c>
      <c r="B511" s="12" t="s">
        <v>29</v>
      </c>
      <c r="C511" s="27"/>
      <c r="D511" s="27"/>
      <c r="E511" s="27"/>
      <c r="F511" s="27"/>
      <c r="G511" s="27"/>
      <c r="H511" s="27"/>
      <c r="I511" s="27"/>
      <c r="J511" s="14"/>
      <c r="K511" s="14"/>
      <c r="L511" s="15"/>
      <c r="M511" s="16"/>
      <c r="Q511" s="93"/>
      <c r="R511" s="93"/>
      <c r="S511" s="95"/>
      <c r="T511" s="17"/>
    </row>
    <row r="512" spans="1:20" hidden="1">
      <c r="A512" s="33"/>
      <c r="B512" s="12" t="s">
        <v>31</v>
      </c>
      <c r="C512" s="27"/>
      <c r="D512" s="27"/>
      <c r="E512" s="27"/>
      <c r="F512" s="27"/>
      <c r="G512" s="27"/>
      <c r="H512" s="27"/>
      <c r="I512" s="27"/>
      <c r="J512" s="14"/>
      <c r="K512" s="14"/>
      <c r="L512" s="15"/>
      <c r="M512" s="16"/>
      <c r="N512" s="85" t="e">
        <f>#REF!</f>
        <v>#REF!</v>
      </c>
      <c r="P512" s="85" t="e">
        <f>#REF!</f>
        <v>#REF!</v>
      </c>
      <c r="Q512" s="93"/>
      <c r="R512" s="93"/>
      <c r="S512" s="95"/>
      <c r="T512" s="17"/>
    </row>
    <row r="513" spans="1:20" hidden="1">
      <c r="A513" s="35"/>
      <c r="B513" s="12" t="s">
        <v>32</v>
      </c>
      <c r="C513" s="28"/>
      <c r="D513" s="27"/>
      <c r="E513" s="27"/>
      <c r="F513" s="27"/>
      <c r="G513" s="27"/>
      <c r="H513" s="27"/>
      <c r="I513" s="27"/>
      <c r="J513" s="14"/>
      <c r="K513" s="14"/>
      <c r="L513" s="15"/>
      <c r="M513" s="16"/>
      <c r="Q513" s="93"/>
      <c r="R513" s="93"/>
      <c r="S513" s="95"/>
      <c r="T513" s="17"/>
    </row>
    <row r="514" spans="1:20" hidden="1">
      <c r="A514" s="33" t="s">
        <v>54</v>
      </c>
      <c r="B514" s="12" t="s">
        <v>33</v>
      </c>
      <c r="C514" s="27"/>
      <c r="D514" s="27"/>
      <c r="E514" s="27"/>
      <c r="F514" s="27"/>
      <c r="G514" s="27"/>
      <c r="H514" s="27"/>
      <c r="I514" s="27"/>
      <c r="J514" s="14"/>
      <c r="K514" s="14"/>
      <c r="L514" s="15"/>
      <c r="M514" s="16"/>
      <c r="N514" s="85" t="e">
        <f>#REF!</f>
        <v>#REF!</v>
      </c>
      <c r="P514" s="85" t="e">
        <f>#REF!</f>
        <v>#REF!</v>
      </c>
      <c r="Q514" s="93"/>
      <c r="R514" s="93"/>
      <c r="S514" s="95"/>
    </row>
    <row r="515" spans="1:20" hidden="1">
      <c r="A515" s="35">
        <v>43133</v>
      </c>
      <c r="B515" s="12" t="s">
        <v>30</v>
      </c>
      <c r="C515" s="27"/>
      <c r="D515" s="27"/>
      <c r="E515" s="27"/>
      <c r="F515" s="27"/>
      <c r="G515" s="27"/>
      <c r="H515" s="27"/>
      <c r="I515" s="27"/>
      <c r="J515" s="14"/>
      <c r="K515" s="14"/>
      <c r="L515" s="15"/>
      <c r="M515" s="16"/>
      <c r="Q515" s="93"/>
      <c r="R515" s="93"/>
      <c r="S515" s="95"/>
    </row>
    <row r="516" spans="1:20" hidden="1">
      <c r="A516" s="33"/>
      <c r="B516" s="12"/>
      <c r="C516" s="27"/>
      <c r="D516" s="27"/>
      <c r="E516" s="27"/>
      <c r="F516" s="27"/>
      <c r="G516" s="27"/>
      <c r="H516" s="27"/>
      <c r="I516" s="27"/>
      <c r="J516" s="14"/>
      <c r="K516" s="14"/>
      <c r="L516" s="15"/>
      <c r="M516" s="16"/>
      <c r="N516" s="85" t="e">
        <f>#REF!</f>
        <v>#REF!</v>
      </c>
      <c r="Q516" s="93"/>
      <c r="R516" s="93"/>
      <c r="S516" s="95"/>
      <c r="T516" s="17"/>
    </row>
    <row r="517" spans="1:20" hidden="1">
      <c r="A517" s="35">
        <v>43140</v>
      </c>
      <c r="B517" s="12"/>
      <c r="C517" s="29"/>
      <c r="D517" s="27"/>
      <c r="E517" s="27"/>
      <c r="F517" s="27"/>
      <c r="G517" s="27"/>
      <c r="H517" s="27"/>
      <c r="I517" s="27"/>
      <c r="J517" s="14"/>
      <c r="K517" s="14"/>
      <c r="L517" s="15"/>
      <c r="M517" s="16"/>
      <c r="P517" s="85" t="s">
        <v>44</v>
      </c>
      <c r="Q517" s="93"/>
      <c r="R517" s="93"/>
      <c r="S517" s="95"/>
      <c r="T517" s="17"/>
    </row>
    <row r="518" spans="1:20" hidden="1">
      <c r="A518" s="33"/>
      <c r="B518" s="12" t="s">
        <v>37</v>
      </c>
      <c r="C518" s="27"/>
      <c r="D518" s="27" t="e">
        <f>#REF!</f>
        <v>#REF!</v>
      </c>
      <c r="E518" s="27"/>
      <c r="F518" s="27"/>
      <c r="G518" s="27"/>
      <c r="H518" s="27"/>
      <c r="I518" s="27"/>
      <c r="J518" s="14"/>
      <c r="K518" s="14"/>
      <c r="L518" s="15"/>
      <c r="M518" s="16"/>
      <c r="N518" s="85" t="e">
        <f>#REF!</f>
        <v>#REF!</v>
      </c>
      <c r="P518" s="85" t="e">
        <f>#REF!</f>
        <v>#REF!</v>
      </c>
      <c r="Q518" s="93"/>
      <c r="R518" s="93"/>
      <c r="S518" s="95"/>
      <c r="T518" s="17"/>
    </row>
    <row r="519" spans="1:20" hidden="1">
      <c r="A519" s="35">
        <v>43143</v>
      </c>
      <c r="B519" s="12" t="s">
        <v>29</v>
      </c>
      <c r="C519" s="27"/>
      <c r="D519" s="27"/>
      <c r="E519" s="27"/>
      <c r="F519" s="27"/>
      <c r="G519" s="27"/>
      <c r="H519" s="27"/>
      <c r="I519" s="27"/>
      <c r="J519" s="14"/>
      <c r="K519" s="14"/>
      <c r="L519" s="15"/>
      <c r="M519" s="16"/>
      <c r="Q519" s="93"/>
      <c r="R519" s="93"/>
      <c r="S519" s="95"/>
      <c r="T519" s="17"/>
    </row>
    <row r="520" spans="1:20" hidden="1">
      <c r="A520" s="33"/>
      <c r="B520" s="12" t="s">
        <v>31</v>
      </c>
      <c r="C520" s="27"/>
      <c r="D520" s="27"/>
      <c r="E520" s="27"/>
      <c r="F520" s="27"/>
      <c r="G520" s="27"/>
      <c r="H520" s="27"/>
      <c r="I520" s="27"/>
      <c r="J520" s="14"/>
      <c r="K520" s="14"/>
      <c r="L520" s="15"/>
      <c r="M520" s="16"/>
      <c r="P520" s="85" t="e">
        <f>#REF!</f>
        <v>#REF!</v>
      </c>
      <c r="S520" s="95"/>
      <c r="T520" s="17"/>
    </row>
    <row r="521" spans="1:20" hidden="1">
      <c r="A521" s="35">
        <v>43147</v>
      </c>
      <c r="B521" s="12" t="s">
        <v>32</v>
      </c>
      <c r="C521" s="28"/>
      <c r="D521" s="27"/>
      <c r="E521" s="27"/>
      <c r="F521" s="27"/>
      <c r="G521" s="27"/>
      <c r="H521" s="27"/>
      <c r="I521" s="27"/>
      <c r="J521" s="14"/>
      <c r="K521" s="14"/>
      <c r="L521" s="15"/>
      <c r="M521" s="16"/>
      <c r="N521" s="85" t="s">
        <v>44</v>
      </c>
      <c r="S521" s="95"/>
      <c r="T521" s="17"/>
    </row>
    <row r="522" spans="1:20" ht="7.5" hidden="1" customHeight="1">
      <c r="A522" s="33"/>
      <c r="B522" s="12" t="s">
        <v>33</v>
      </c>
      <c r="C522" s="27"/>
      <c r="D522" s="27"/>
      <c r="E522" s="27"/>
      <c r="F522" s="27"/>
      <c r="G522" s="27"/>
      <c r="H522" s="27"/>
      <c r="I522" s="27"/>
      <c r="J522" s="14"/>
      <c r="K522" s="14"/>
      <c r="L522" s="15"/>
      <c r="M522" s="16"/>
      <c r="N522" s="85" t="e">
        <f>#REF!</f>
        <v>#REF!</v>
      </c>
      <c r="P522" s="85">
        <v>9200</v>
      </c>
      <c r="Q522" s="93"/>
      <c r="R522" s="93"/>
      <c r="S522" s="95"/>
      <c r="T522" s="17"/>
    </row>
    <row r="523" spans="1:20" hidden="1">
      <c r="A523" s="35">
        <v>43154</v>
      </c>
      <c r="B523" s="12" t="s">
        <v>30</v>
      </c>
      <c r="C523" s="27"/>
      <c r="D523" s="27"/>
      <c r="E523" s="27"/>
      <c r="F523" s="27"/>
      <c r="G523" s="27"/>
      <c r="H523" s="27"/>
      <c r="I523" s="27"/>
      <c r="J523" s="14"/>
      <c r="K523" s="14"/>
      <c r="L523" s="15"/>
      <c r="M523" s="16"/>
      <c r="Q523" s="93"/>
      <c r="R523" s="93"/>
      <c r="S523" s="95"/>
      <c r="T523" s="17"/>
    </row>
    <row r="524" spans="1:20" hidden="1">
      <c r="A524" s="33"/>
      <c r="B524" s="12"/>
      <c r="C524" s="27"/>
      <c r="D524" s="27"/>
      <c r="E524" s="27"/>
      <c r="F524" s="27"/>
      <c r="G524" s="27"/>
      <c r="H524" s="27"/>
      <c r="I524" s="27"/>
      <c r="J524" s="14"/>
      <c r="K524" s="14"/>
      <c r="L524" s="15"/>
      <c r="M524" s="16"/>
      <c r="N524" s="85" t="e">
        <f>#REF!</f>
        <v>#REF!</v>
      </c>
      <c r="P524" s="85">
        <v>9409</v>
      </c>
      <c r="Q524" s="93"/>
      <c r="R524" s="93"/>
      <c r="S524" s="95"/>
      <c r="T524" s="17"/>
    </row>
    <row r="525" spans="1:20" hidden="1">
      <c r="A525" s="35" t="s">
        <v>57</v>
      </c>
      <c r="B525" s="12"/>
      <c r="C525" s="29"/>
      <c r="D525" s="27"/>
      <c r="E525" s="27"/>
      <c r="F525" s="27"/>
      <c r="G525" s="27"/>
      <c r="H525" s="27"/>
      <c r="I525" s="27"/>
      <c r="J525" s="14"/>
      <c r="K525" s="14"/>
      <c r="L525" s="15"/>
      <c r="M525" s="16"/>
      <c r="Q525" s="93"/>
      <c r="R525" s="93"/>
      <c r="S525" s="95"/>
      <c r="T525" s="17"/>
    </row>
    <row r="526" spans="1:20" hidden="1">
      <c r="A526" s="33"/>
      <c r="B526" s="12"/>
      <c r="C526" s="27"/>
      <c r="D526" s="27" t="e">
        <f>#REF!</f>
        <v>#REF!</v>
      </c>
      <c r="E526" s="27"/>
      <c r="F526" s="27"/>
      <c r="G526" s="27"/>
      <c r="H526" s="27"/>
      <c r="I526" s="27"/>
      <c r="J526" s="14"/>
      <c r="K526" s="14"/>
      <c r="L526" s="15"/>
      <c r="M526" s="16"/>
      <c r="N526" s="85">
        <v>9200</v>
      </c>
      <c r="P526" s="85" t="e">
        <f>#REF!</f>
        <v>#REF!</v>
      </c>
      <c r="Q526" s="93"/>
      <c r="R526" s="93"/>
      <c r="S526" s="95"/>
      <c r="T526" s="17"/>
    </row>
    <row r="527" spans="1:20" hidden="1">
      <c r="A527" s="33"/>
      <c r="B527" s="11" t="s">
        <v>39</v>
      </c>
      <c r="C527" s="27"/>
      <c r="D527" s="29" t="e">
        <f>SUM(D491:D526)</f>
        <v>#REF!</v>
      </c>
      <c r="E527" s="27"/>
      <c r="F527" s="27"/>
      <c r="G527" s="27"/>
      <c r="H527" s="27"/>
      <c r="I527" s="27"/>
      <c r="J527" s="14"/>
      <c r="K527" s="14"/>
      <c r="L527" s="15"/>
      <c r="M527" s="16"/>
      <c r="Q527" s="93"/>
      <c r="R527" s="93"/>
      <c r="S527" s="95"/>
      <c r="T527" s="17"/>
    </row>
    <row r="528" spans="1:20" hidden="1">
      <c r="A528" s="33" t="s">
        <v>55</v>
      </c>
      <c r="B528" s="11" t="s">
        <v>42</v>
      </c>
      <c r="C528" s="27"/>
      <c r="D528" s="27"/>
      <c r="E528" s="27"/>
      <c r="F528" s="27"/>
      <c r="G528" s="27"/>
      <c r="H528" s="27"/>
      <c r="I528" s="27"/>
      <c r="J528" s="14"/>
      <c r="K528" s="14"/>
      <c r="L528" s="15"/>
      <c r="M528" s="16"/>
      <c r="N528" s="85">
        <v>9409</v>
      </c>
      <c r="Q528" s="93"/>
      <c r="R528" s="93"/>
      <c r="S528" s="95"/>
    </row>
    <row r="529" spans="1:20" hidden="1">
      <c r="A529" s="35">
        <v>43133</v>
      </c>
      <c r="B529" s="11" t="s">
        <v>40</v>
      </c>
      <c r="C529" s="27"/>
      <c r="D529" s="27"/>
      <c r="E529" s="27"/>
      <c r="F529" s="27"/>
      <c r="G529" s="27"/>
      <c r="H529" s="27"/>
      <c r="I529" s="27"/>
      <c r="J529" s="14"/>
      <c r="K529" s="14"/>
      <c r="L529" s="15"/>
      <c r="M529" s="16"/>
      <c r="Q529" s="93"/>
      <c r="R529" s="93"/>
      <c r="S529" s="95"/>
    </row>
    <row r="530" spans="1:20" hidden="1">
      <c r="A530" s="33"/>
      <c r="B530" s="11" t="s">
        <v>43</v>
      </c>
      <c r="C530" s="27"/>
      <c r="D530" s="27"/>
      <c r="E530" s="27"/>
      <c r="F530" s="27"/>
      <c r="G530" s="27"/>
      <c r="H530" s="27"/>
      <c r="I530" s="27"/>
      <c r="J530" s="14"/>
      <c r="K530" s="14"/>
      <c r="L530" s="15"/>
      <c r="M530" s="16"/>
      <c r="N530" s="85" t="e">
        <f>#REF!</f>
        <v>#REF!</v>
      </c>
      <c r="Q530" s="93"/>
      <c r="R530" s="93"/>
      <c r="S530" s="95"/>
      <c r="T530" s="17"/>
    </row>
    <row r="531" spans="1:20" hidden="1">
      <c r="A531" s="35">
        <v>43133</v>
      </c>
      <c r="B531" s="11" t="s">
        <v>41</v>
      </c>
      <c r="C531" s="27"/>
      <c r="D531" s="27"/>
      <c r="E531" s="27"/>
      <c r="F531" s="27"/>
      <c r="G531" s="27"/>
      <c r="H531" s="27"/>
      <c r="I531" s="27"/>
      <c r="J531" s="14"/>
      <c r="K531" s="14"/>
      <c r="L531" s="15"/>
      <c r="M531" s="16"/>
      <c r="P531" s="85" t="s">
        <v>44</v>
      </c>
      <c r="Q531" s="93"/>
      <c r="R531" s="93"/>
      <c r="S531" s="95"/>
      <c r="T531" s="17"/>
    </row>
    <row r="532" spans="1:20" hidden="1">
      <c r="A532" s="33"/>
      <c r="B532" s="11"/>
      <c r="C532" s="27"/>
      <c r="D532" s="27"/>
      <c r="E532" s="27"/>
      <c r="F532" s="27"/>
      <c r="G532" s="27"/>
      <c r="H532" s="27"/>
      <c r="I532" s="27"/>
      <c r="J532" s="14"/>
      <c r="K532" s="14"/>
      <c r="L532" s="15"/>
      <c r="M532" s="16"/>
      <c r="P532" s="85" t="e">
        <f>#REF!</f>
        <v>#REF!</v>
      </c>
      <c r="S532" s="95"/>
      <c r="T532" s="17"/>
    </row>
    <row r="533" spans="1:20" hidden="1">
      <c r="A533" s="35">
        <v>43140</v>
      </c>
      <c r="B533" s="12" t="s">
        <v>44</v>
      </c>
      <c r="C533" s="27"/>
      <c r="D533" s="27"/>
      <c r="E533" s="27"/>
      <c r="F533" s="27"/>
      <c r="G533" s="27"/>
      <c r="H533" s="27"/>
      <c r="I533" s="27" t="s">
        <v>16</v>
      </c>
      <c r="J533" s="14"/>
      <c r="K533" s="14"/>
      <c r="L533" s="15"/>
      <c r="M533" s="16"/>
      <c r="S533" s="95"/>
      <c r="T533" s="17"/>
    </row>
    <row r="534" spans="1:20" hidden="1">
      <c r="A534" s="33"/>
      <c r="B534" s="39" t="s">
        <v>49</v>
      </c>
      <c r="C534" s="27"/>
      <c r="D534" s="27"/>
      <c r="E534" s="27" t="s">
        <v>46</v>
      </c>
      <c r="F534" s="27"/>
      <c r="G534" s="27" t="s">
        <v>47</v>
      </c>
      <c r="H534" s="27"/>
      <c r="I534" s="37">
        <v>-50</v>
      </c>
      <c r="J534" s="14" t="s">
        <v>48</v>
      </c>
      <c r="K534" s="14"/>
      <c r="L534" s="15"/>
      <c r="M534" s="16"/>
      <c r="P534" s="85" t="e">
        <f>#REF!</f>
        <v>#REF!</v>
      </c>
      <c r="Q534" s="93"/>
      <c r="R534" s="93"/>
      <c r="S534" s="95"/>
      <c r="T534" s="17"/>
    </row>
    <row r="535" spans="1:20" hidden="1">
      <c r="A535" s="35">
        <v>43147</v>
      </c>
      <c r="B535" s="37"/>
      <c r="C535" s="27"/>
      <c r="D535" s="27" t="s">
        <v>45</v>
      </c>
      <c r="E535" s="27"/>
      <c r="F535" s="27" t="s">
        <v>46</v>
      </c>
      <c r="G535" s="27"/>
      <c r="H535" s="27"/>
      <c r="I535" s="27"/>
      <c r="J535" s="14"/>
      <c r="K535" s="14"/>
      <c r="L535" s="15"/>
      <c r="M535" s="16"/>
      <c r="N535" s="85" t="s">
        <v>44</v>
      </c>
      <c r="Q535" s="93"/>
      <c r="R535" s="93"/>
      <c r="S535" s="95"/>
      <c r="T535" s="17"/>
    </row>
    <row r="536" spans="1:20" hidden="1">
      <c r="A536" s="33"/>
      <c r="B536" s="37" t="e">
        <f>#REF!</f>
        <v>#REF!</v>
      </c>
      <c r="C536" s="37"/>
      <c r="D536" s="37" t="e">
        <f>#REF!-B534</f>
        <v>#REF!</v>
      </c>
      <c r="E536" s="27"/>
      <c r="F536" s="27"/>
      <c r="G536" s="27"/>
      <c r="H536" s="27"/>
      <c r="I536" s="37">
        <v>-300</v>
      </c>
      <c r="J536" s="14"/>
      <c r="K536" s="14"/>
      <c r="L536" s="16"/>
      <c r="M536" s="16"/>
      <c r="N536" s="85" t="e">
        <f>#REF!</f>
        <v>#REF!</v>
      </c>
      <c r="P536" s="85" t="e">
        <f>#REF!</f>
        <v>#REF!</v>
      </c>
      <c r="Q536" s="93"/>
      <c r="R536" s="93"/>
      <c r="S536" s="95"/>
      <c r="T536" s="17"/>
    </row>
    <row r="537" spans="1:20" hidden="1">
      <c r="A537" s="35">
        <v>43154</v>
      </c>
      <c r="B537" s="37"/>
      <c r="C537" s="37"/>
      <c r="D537" s="27"/>
      <c r="E537" s="37"/>
      <c r="F537" s="27"/>
      <c r="G537" s="37"/>
      <c r="H537" s="37"/>
      <c r="I537" s="37"/>
      <c r="J537" s="14"/>
      <c r="K537" s="14"/>
      <c r="L537" s="16"/>
      <c r="M537" s="16"/>
      <c r="Q537" s="93"/>
      <c r="R537" s="93"/>
      <c r="S537" s="95"/>
      <c r="T537" s="17"/>
    </row>
    <row r="538" spans="1:20" hidden="1">
      <c r="A538" s="33"/>
      <c r="B538" s="37">
        <v>12250</v>
      </c>
      <c r="C538" s="37"/>
      <c r="D538" s="37" t="e">
        <f>#REF!-B536</f>
        <v>#REF!</v>
      </c>
      <c r="E538" s="37"/>
      <c r="F538" s="37"/>
      <c r="G538" s="37"/>
      <c r="H538" s="37"/>
      <c r="I538" s="37">
        <v>-300</v>
      </c>
      <c r="J538" s="14"/>
      <c r="K538" s="14"/>
      <c r="L538" s="16"/>
      <c r="M538" s="16"/>
      <c r="N538" s="85" t="e">
        <f>#REF!</f>
        <v>#REF!</v>
      </c>
      <c r="P538" s="85" t="e">
        <f>#REF!</f>
        <v>#REF!</v>
      </c>
      <c r="Q538" s="93"/>
      <c r="R538" s="93"/>
      <c r="S538" s="95"/>
      <c r="T538" s="17"/>
    </row>
    <row r="539" spans="1:20" hidden="1">
      <c r="A539" s="35">
        <v>43159</v>
      </c>
      <c r="B539" s="37"/>
      <c r="C539" s="37"/>
      <c r="D539" s="37"/>
      <c r="E539" s="37"/>
      <c r="F539" s="37"/>
      <c r="G539" s="37"/>
      <c r="H539" s="37"/>
      <c r="I539" s="37"/>
      <c r="J539" s="14"/>
      <c r="K539" s="14"/>
      <c r="L539" s="16"/>
      <c r="M539" s="16"/>
      <c r="Q539" s="93"/>
      <c r="R539" s="93"/>
      <c r="S539" s="95"/>
      <c r="T539" s="17"/>
    </row>
    <row r="540" spans="1:20" hidden="1">
      <c r="A540" s="33"/>
      <c r="B540" s="37">
        <v>12400</v>
      </c>
      <c r="C540" s="37"/>
      <c r="D540" s="37">
        <v>125</v>
      </c>
      <c r="E540" s="37"/>
      <c r="F540" s="37"/>
      <c r="G540" s="37"/>
      <c r="H540" s="37"/>
      <c r="I540" s="37">
        <v>-300</v>
      </c>
      <c r="J540" s="14"/>
      <c r="K540" s="14"/>
      <c r="L540" s="16"/>
      <c r="M540" s="16"/>
      <c r="N540" s="85" t="e">
        <f>#REF!</f>
        <v>#REF!</v>
      </c>
      <c r="P540" s="85" t="e">
        <f>#REF!</f>
        <v>#REF!</v>
      </c>
      <c r="Q540" s="93"/>
      <c r="R540" s="93"/>
      <c r="S540" s="95"/>
      <c r="T540" s="17"/>
    </row>
    <row r="541" spans="1:20" hidden="1">
      <c r="A541" s="35"/>
      <c r="B541" s="37"/>
      <c r="C541" s="37"/>
      <c r="D541" s="37"/>
      <c r="E541" s="37"/>
      <c r="F541" s="37"/>
      <c r="G541" s="37"/>
      <c r="H541" s="37"/>
      <c r="I541" s="37"/>
      <c r="J541" s="14"/>
      <c r="K541" s="14"/>
      <c r="L541" s="16"/>
      <c r="M541" s="16"/>
      <c r="Q541" s="93"/>
      <c r="R541" s="93"/>
      <c r="S541" s="95"/>
      <c r="T541" s="17"/>
    </row>
    <row r="542" spans="1:20" hidden="1">
      <c r="A542" s="33"/>
      <c r="B542" s="37" t="e">
        <f>#REF!</f>
        <v>#REF!</v>
      </c>
      <c r="C542" s="37"/>
      <c r="D542" s="37" t="e">
        <f>#REF!-B540</f>
        <v>#REF!</v>
      </c>
      <c r="E542" s="37"/>
      <c r="F542" s="37"/>
      <c r="G542" s="37"/>
      <c r="H542" s="37"/>
      <c r="I542" s="37">
        <v>-300</v>
      </c>
      <c r="J542" s="14"/>
      <c r="K542" s="14"/>
      <c r="L542" s="16"/>
      <c r="M542" s="16"/>
      <c r="N542" s="85" t="e">
        <f>#REF!</f>
        <v>#REF!</v>
      </c>
      <c r="P542" s="85">
        <v>7759</v>
      </c>
      <c r="Q542" s="93"/>
      <c r="R542" s="93"/>
      <c r="S542" s="95"/>
      <c r="T542" s="17"/>
    </row>
    <row r="543" spans="1:20" hidden="1">
      <c r="A543" s="33"/>
      <c r="B543" s="37"/>
      <c r="C543" s="37"/>
      <c r="D543" s="37"/>
      <c r="E543" s="37"/>
      <c r="F543" s="37"/>
      <c r="G543" s="37"/>
      <c r="H543" s="37"/>
      <c r="I543" s="37">
        <f>SUM(I534:I542)</f>
        <v>-1250</v>
      </c>
      <c r="J543" s="14"/>
      <c r="K543" s="14"/>
      <c r="L543" s="16"/>
      <c r="M543" s="16"/>
      <c r="Q543" s="93"/>
      <c r="R543" s="93"/>
      <c r="S543" s="95"/>
      <c r="T543" s="17"/>
    </row>
    <row r="544" spans="1:20" hidden="1">
      <c r="A544" s="33" t="s">
        <v>56</v>
      </c>
      <c r="B544" s="37">
        <v>12200</v>
      </c>
      <c r="C544" s="37"/>
      <c r="D544" s="37" t="e">
        <f>#REF!-B542</f>
        <v>#REF!</v>
      </c>
      <c r="E544" s="37" t="e">
        <f>D545*2</f>
        <v>#REF!</v>
      </c>
      <c r="F544" s="37"/>
      <c r="G544" s="37" t="e">
        <f>E544*12.5</f>
        <v>#REF!</v>
      </c>
      <c r="H544" s="37"/>
      <c r="I544" s="37"/>
      <c r="J544" s="14">
        <f>SUM(G543:I543)</f>
        <v>-1250</v>
      </c>
      <c r="K544" s="14"/>
      <c r="L544" s="16"/>
      <c r="M544" s="16"/>
      <c r="N544" s="85" t="e">
        <f>#REF!</f>
        <v>#REF!</v>
      </c>
      <c r="Q544" s="93"/>
      <c r="R544" s="93"/>
      <c r="S544" s="95"/>
    </row>
    <row r="545" spans="1:20" hidden="1">
      <c r="A545" s="35">
        <v>43133</v>
      </c>
      <c r="B545" s="37"/>
      <c r="C545" s="37"/>
      <c r="D545" s="37" t="e">
        <f>SUM(D536:D544)</f>
        <v>#REF!</v>
      </c>
      <c r="E545" s="37"/>
      <c r="F545" s="37" t="e">
        <f>E544*2</f>
        <v>#REF!</v>
      </c>
      <c r="G545" s="37"/>
      <c r="H545" s="37"/>
      <c r="I545" s="37"/>
      <c r="J545" s="14"/>
      <c r="K545" s="14"/>
      <c r="L545" s="16"/>
      <c r="M545" s="16"/>
      <c r="Q545" s="93"/>
      <c r="R545" s="93"/>
      <c r="S545" s="95"/>
    </row>
    <row r="546" spans="1:20" hidden="1">
      <c r="A546" s="33"/>
      <c r="B546" s="12" t="s">
        <v>44</v>
      </c>
      <c r="C546" s="37"/>
      <c r="D546" s="37"/>
      <c r="E546" s="37"/>
      <c r="F546" s="37"/>
      <c r="G546" s="37"/>
      <c r="H546" s="37"/>
      <c r="I546" s="27" t="s">
        <v>47</v>
      </c>
      <c r="J546" s="14"/>
      <c r="K546" s="36"/>
      <c r="L546" s="14"/>
      <c r="M546" s="15"/>
      <c r="N546" s="85">
        <v>7759</v>
      </c>
      <c r="S546" s="95"/>
      <c r="T546" s="17"/>
    </row>
    <row r="547" spans="1:20" hidden="1">
      <c r="A547" s="35">
        <v>43133</v>
      </c>
      <c r="B547" s="39" t="s">
        <v>51</v>
      </c>
      <c r="C547" s="37"/>
      <c r="D547" s="37"/>
      <c r="E547" s="27" t="s">
        <v>52</v>
      </c>
      <c r="F547" s="37"/>
      <c r="G547" s="27" t="s">
        <v>46</v>
      </c>
      <c r="H547" s="27"/>
      <c r="I547" s="27" t="e">
        <f>G548*6.25</f>
        <v>#REF!</v>
      </c>
      <c r="J547" s="36" t="s">
        <v>16</v>
      </c>
      <c r="K547" s="37"/>
      <c r="L547" s="14"/>
      <c r="M547" s="15"/>
      <c r="P547" s="85" t="s">
        <v>44</v>
      </c>
      <c r="S547" s="95"/>
      <c r="T547" s="17"/>
    </row>
    <row r="548" spans="1:20" hidden="1">
      <c r="A548" s="33"/>
      <c r="B548" s="37"/>
      <c r="C548" s="27"/>
      <c r="D548" s="27" t="s">
        <v>45</v>
      </c>
      <c r="E548" s="37"/>
      <c r="F548" s="27" t="s">
        <v>52</v>
      </c>
      <c r="G548" s="37" t="e">
        <f>D549*2</f>
        <v>#REF!</v>
      </c>
      <c r="H548" s="37"/>
      <c r="I548" s="27"/>
      <c r="J548" s="37">
        <v>-50</v>
      </c>
      <c r="K548" s="27"/>
      <c r="L548" s="14"/>
      <c r="M548" s="15"/>
      <c r="P548" s="85">
        <v>8097</v>
      </c>
      <c r="Q548" s="93"/>
      <c r="R548" s="93"/>
      <c r="S548" s="95"/>
      <c r="T548" s="17"/>
    </row>
    <row r="549" spans="1:20" hidden="1">
      <c r="A549" s="35">
        <v>43140</v>
      </c>
      <c r="B549" s="37" t="e">
        <f>#REF!</f>
        <v>#REF!</v>
      </c>
      <c r="C549" s="37"/>
      <c r="D549" s="37" t="e">
        <f>#REF!-B547</f>
        <v>#REF!</v>
      </c>
      <c r="E549" s="27"/>
      <c r="F549" s="37"/>
      <c r="G549" s="27"/>
      <c r="H549" s="27"/>
      <c r="I549" s="27">
        <f>G550*6.25</f>
        <v>-1125</v>
      </c>
      <c r="J549" s="27"/>
      <c r="K549" s="37"/>
      <c r="L549" s="14"/>
      <c r="M549" s="16"/>
      <c r="Q549" s="93"/>
      <c r="R549" s="93"/>
      <c r="S549" s="95"/>
      <c r="T549" s="17"/>
    </row>
    <row r="550" spans="1:20" hidden="1">
      <c r="A550" s="33"/>
      <c r="B550" s="37"/>
      <c r="C550" s="37"/>
      <c r="D550" s="27"/>
      <c r="E550" s="37">
        <v>10</v>
      </c>
      <c r="F550" s="27"/>
      <c r="G550" s="37">
        <f>180*-1</f>
        <v>-180</v>
      </c>
      <c r="H550" s="37"/>
      <c r="I550" s="37"/>
      <c r="J550" s="37">
        <v>-100</v>
      </c>
      <c r="K550" s="37"/>
      <c r="L550" s="14"/>
      <c r="M550" s="16"/>
      <c r="P550" s="85" t="e">
        <f>#REF!</f>
        <v>#REF!</v>
      </c>
      <c r="Q550" s="93"/>
      <c r="R550" s="93"/>
      <c r="S550" s="95"/>
      <c r="T550" s="17"/>
    </row>
    <row r="551" spans="1:20">
      <c r="A551" s="35">
        <v>43147</v>
      </c>
      <c r="B551" s="37" t="e">
        <f>#REF!</f>
        <v>#REF!</v>
      </c>
      <c r="C551" s="37"/>
      <c r="D551" s="37">
        <v>-200</v>
      </c>
      <c r="E551" s="37"/>
      <c r="F551" s="37">
        <v>10</v>
      </c>
      <c r="G551" s="37"/>
      <c r="H551" s="37"/>
      <c r="I551" s="37"/>
      <c r="J551" s="37"/>
      <c r="K551" s="37"/>
      <c r="L551" s="14"/>
      <c r="M551" s="16"/>
      <c r="N551" s="85" t="s">
        <v>44</v>
      </c>
      <c r="Q551" s="93"/>
      <c r="R551" s="93"/>
      <c r="S551" s="95"/>
      <c r="T551" s="17"/>
    </row>
    <row r="552" spans="1:20">
      <c r="A552" s="33"/>
      <c r="B552" s="37"/>
      <c r="C552" s="37"/>
      <c r="D552" s="37"/>
      <c r="E552" s="37">
        <v>20</v>
      </c>
      <c r="F552" s="37"/>
      <c r="G552" s="37">
        <f>SUM(D552:E552)</f>
        <v>20</v>
      </c>
      <c r="H552" s="37"/>
      <c r="I552" s="37"/>
      <c r="J552" s="37">
        <v>-100</v>
      </c>
      <c r="K552" s="37"/>
      <c r="L552" s="14"/>
      <c r="M552" s="16"/>
      <c r="N552" s="85">
        <v>8097</v>
      </c>
      <c r="P552" s="85">
        <v>7946</v>
      </c>
      <c r="Q552" s="93"/>
      <c r="R552" s="93"/>
      <c r="S552" s="95"/>
      <c r="T552" s="17"/>
    </row>
    <row r="553" spans="1:20">
      <c r="A553" s="35">
        <v>43154</v>
      </c>
      <c r="B553" s="37" t="e">
        <f>#REF!</f>
        <v>#REF!</v>
      </c>
      <c r="C553" s="37"/>
      <c r="D553" s="37">
        <v>177</v>
      </c>
      <c r="E553" s="37"/>
      <c r="F553" s="37">
        <v>20</v>
      </c>
      <c r="G553" s="37"/>
      <c r="H553" s="37"/>
      <c r="I553" s="37"/>
      <c r="J553" s="37"/>
      <c r="K553" s="37"/>
      <c r="L553" s="14"/>
      <c r="M553" s="16"/>
      <c r="Q553" s="93"/>
      <c r="R553" s="93"/>
      <c r="S553" s="95"/>
      <c r="T553" s="17"/>
    </row>
    <row r="554" spans="1:20">
      <c r="A554" s="33"/>
      <c r="B554" s="37"/>
      <c r="C554" s="37"/>
      <c r="D554" s="37"/>
      <c r="E554" s="37">
        <v>25</v>
      </c>
      <c r="F554" s="37"/>
      <c r="G554" s="37">
        <f>SUM(D554:E554)</f>
        <v>25</v>
      </c>
      <c r="H554" s="37"/>
      <c r="I554" s="37"/>
      <c r="J554" s="37">
        <v>-100</v>
      </c>
      <c r="K554" s="37"/>
      <c r="L554" s="14"/>
      <c r="M554" s="16"/>
      <c r="N554" s="85" t="e">
        <f>#REF!</f>
        <v>#REF!</v>
      </c>
      <c r="P554" s="85">
        <v>7962</v>
      </c>
      <c r="Q554" s="93"/>
      <c r="R554" s="93"/>
      <c r="S554" s="95"/>
      <c r="T554" s="17"/>
    </row>
    <row r="555" spans="1:20">
      <c r="A555" s="35">
        <v>43159</v>
      </c>
      <c r="B555" s="37" t="e">
        <f>#REF!</f>
        <v>#REF!</v>
      </c>
      <c r="C555" s="37"/>
      <c r="D555" s="37" t="e">
        <f>#REF!-B553</f>
        <v>#REF!</v>
      </c>
      <c r="E555" s="37"/>
      <c r="F555" s="37">
        <v>25</v>
      </c>
      <c r="G555" s="37"/>
      <c r="H555" s="37"/>
      <c r="I555" s="37"/>
      <c r="J555" s="37"/>
      <c r="K555" s="37"/>
      <c r="L555" s="14"/>
      <c r="M555" s="16"/>
      <c r="Q555" s="93"/>
      <c r="R555" s="93"/>
      <c r="S555" s="95"/>
      <c r="T555" s="17"/>
    </row>
    <row r="556" spans="1:20">
      <c r="A556" s="33"/>
      <c r="B556" s="37"/>
      <c r="C556" s="37"/>
      <c r="D556" s="37"/>
      <c r="E556" s="37">
        <v>17</v>
      </c>
      <c r="F556" s="37"/>
      <c r="G556" s="37">
        <f>SUM(D556:E556)</f>
        <v>17</v>
      </c>
      <c r="H556" s="37"/>
      <c r="I556" s="37" t="e">
        <f>G557*6.25</f>
        <v>#REF!</v>
      </c>
      <c r="J556" s="37">
        <v>-100</v>
      </c>
      <c r="K556" s="37"/>
      <c r="L556" s="14"/>
      <c r="M556" s="16"/>
      <c r="N556" s="85">
        <v>7946</v>
      </c>
      <c r="P556" s="85">
        <v>7914</v>
      </c>
      <c r="Q556" s="93"/>
      <c r="R556" s="93"/>
      <c r="S556" s="95"/>
      <c r="T556" s="17"/>
    </row>
    <row r="557" spans="1:20">
      <c r="A557" s="33"/>
      <c r="B557" s="37"/>
      <c r="C557" s="37"/>
      <c r="D557" s="37">
        <v>-200</v>
      </c>
      <c r="E557" s="37"/>
      <c r="F557" s="37">
        <v>17</v>
      </c>
      <c r="G557" s="37" t="e">
        <f>SUM(G548:G556)</f>
        <v>#REF!</v>
      </c>
      <c r="H557" s="37"/>
      <c r="I557" s="37"/>
      <c r="J557" s="37">
        <f>SUM(J548:J556)</f>
        <v>-450</v>
      </c>
      <c r="K557" s="37"/>
      <c r="L557" s="14"/>
      <c r="M557" s="16"/>
      <c r="Q557" s="93"/>
      <c r="R557" s="93"/>
      <c r="S557" s="95"/>
      <c r="T557" s="17"/>
    </row>
    <row r="558" spans="1:20">
      <c r="A558" s="34">
        <v>43159</v>
      </c>
      <c r="B558" s="12" t="s">
        <v>44</v>
      </c>
      <c r="C558" s="37"/>
      <c r="D558" s="37"/>
      <c r="E558" s="37"/>
      <c r="F558" s="37"/>
      <c r="G558" s="37"/>
      <c r="H558" s="37"/>
      <c r="I558" s="27" t="s">
        <v>47</v>
      </c>
      <c r="J558" s="37"/>
      <c r="K558" s="36"/>
      <c r="L558" s="14"/>
      <c r="M558" s="15"/>
      <c r="N558" s="85">
        <v>7962</v>
      </c>
      <c r="P558" s="85">
        <v>7791</v>
      </c>
      <c r="Q558" s="93"/>
      <c r="R558" s="93"/>
      <c r="S558" s="95"/>
      <c r="T558" s="17"/>
    </row>
    <row r="559" spans="1:20">
      <c r="A559" s="33"/>
      <c r="B559" s="37" t="e">
        <f>#REF!</f>
        <v>#REF!</v>
      </c>
      <c r="C559" s="37"/>
      <c r="D559" s="37"/>
      <c r="E559" s="27" t="s">
        <v>52</v>
      </c>
      <c r="F559" s="37"/>
      <c r="G559" s="27" t="s">
        <v>46</v>
      </c>
      <c r="H559" s="27"/>
      <c r="I559" s="37" t="e">
        <f>G560*6.25</f>
        <v>#REF!</v>
      </c>
      <c r="J559" s="36" t="s">
        <v>16</v>
      </c>
      <c r="K559" s="37"/>
      <c r="L559" s="14"/>
      <c r="M559" s="15"/>
      <c r="Q559" s="93"/>
      <c r="R559" s="93"/>
      <c r="S559" s="95"/>
      <c r="T559" s="17"/>
    </row>
    <row r="560" spans="1:20">
      <c r="A560" s="33"/>
      <c r="B560" s="37"/>
      <c r="C560" s="27"/>
      <c r="D560" s="27" t="s">
        <v>45</v>
      </c>
      <c r="E560" s="37"/>
      <c r="F560" s="27" t="s">
        <v>52</v>
      </c>
      <c r="G560" s="37" t="e">
        <f>D561*2</f>
        <v>#REF!</v>
      </c>
      <c r="H560" s="37"/>
      <c r="I560" s="37"/>
      <c r="J560" s="37">
        <v>-100</v>
      </c>
      <c r="K560" s="27"/>
      <c r="L560" s="14"/>
      <c r="M560" s="15"/>
      <c r="N560" s="85">
        <v>7914</v>
      </c>
      <c r="Q560" s="93"/>
      <c r="R560" s="93"/>
      <c r="S560" s="95"/>
      <c r="T560" s="17"/>
    </row>
    <row r="561" spans="1:21">
      <c r="A561" s="33"/>
      <c r="B561" s="37" t="e">
        <f>#REF!</f>
        <v>#REF!</v>
      </c>
      <c r="C561" s="37"/>
      <c r="D561" s="37" t="e">
        <f>#REF!-B559</f>
        <v>#REF!</v>
      </c>
      <c r="E561" s="27"/>
      <c r="F561" s="37"/>
      <c r="G561" s="27"/>
      <c r="H561" s="27"/>
      <c r="I561" s="37"/>
      <c r="J561" s="27"/>
      <c r="K561" s="37"/>
      <c r="L561" s="14"/>
      <c r="M561" s="16"/>
      <c r="P561" s="85" t="s">
        <v>63</v>
      </c>
      <c r="Q561" s="93"/>
      <c r="R561" s="93"/>
      <c r="S561" s="95"/>
      <c r="T561" s="17"/>
    </row>
    <row r="562" spans="1:21">
      <c r="A562" s="33"/>
      <c r="B562" s="37"/>
      <c r="C562" s="37"/>
      <c r="D562" s="27"/>
      <c r="E562" s="37"/>
      <c r="F562" s="27"/>
      <c r="G562" s="37" t="e">
        <f>D563*2</f>
        <v>#REF!</v>
      </c>
      <c r="H562" s="37"/>
      <c r="I562" s="37"/>
      <c r="J562" s="37">
        <v>-200</v>
      </c>
      <c r="K562" s="37"/>
      <c r="L562" s="14"/>
      <c r="M562" s="16"/>
      <c r="N562" s="85">
        <v>7791</v>
      </c>
      <c r="P562" s="85" t="s">
        <v>64</v>
      </c>
      <c r="S562" s="95"/>
      <c r="T562" s="17"/>
    </row>
    <row r="563" spans="1:21">
      <c r="A563" s="33"/>
      <c r="B563" s="37">
        <v>9200</v>
      </c>
      <c r="C563" s="37"/>
      <c r="D563" s="37" t="e">
        <f>#REF!-B561</f>
        <v>#REF!</v>
      </c>
      <c r="E563" s="37"/>
      <c r="F563" s="37"/>
      <c r="G563" s="37"/>
      <c r="H563" s="37"/>
      <c r="I563" s="37"/>
      <c r="J563" s="37"/>
      <c r="K563" s="37"/>
      <c r="L563" s="14"/>
      <c r="M563" s="16"/>
      <c r="P563" s="85" t="s">
        <v>65</v>
      </c>
      <c r="S563" s="95"/>
      <c r="T563" s="17"/>
    </row>
    <row r="564" spans="1:21">
      <c r="A564" s="33"/>
      <c r="B564" s="37"/>
      <c r="C564" s="37"/>
      <c r="D564" s="37"/>
      <c r="E564" s="37"/>
      <c r="F564" s="37"/>
      <c r="G564" s="37" t="e">
        <f>D565*1</f>
        <v>#REF!</v>
      </c>
      <c r="H564" s="37"/>
      <c r="I564" s="37"/>
      <c r="J564" s="37">
        <v>-150</v>
      </c>
      <c r="K564" s="37"/>
      <c r="L564" s="14"/>
      <c r="M564" s="16"/>
      <c r="P564" s="85" t="s">
        <v>58</v>
      </c>
      <c r="Q564" s="93"/>
      <c r="R564" s="93"/>
      <c r="S564" s="95"/>
      <c r="T564" s="17"/>
    </row>
    <row r="565" spans="1:21">
      <c r="A565" s="33"/>
      <c r="B565" s="37">
        <v>9409</v>
      </c>
      <c r="C565" s="37"/>
      <c r="D565" s="37" t="e">
        <f>#REF!-B563</f>
        <v>#REF!</v>
      </c>
      <c r="E565" s="37"/>
      <c r="F565" s="37"/>
      <c r="G565" s="37"/>
      <c r="H565" s="37"/>
      <c r="I565" s="37"/>
      <c r="J565" s="37"/>
      <c r="K565" s="37"/>
      <c r="L565" s="14"/>
      <c r="M565" s="16"/>
      <c r="N565" s="85" t="s">
        <v>63</v>
      </c>
      <c r="P565" s="85" t="s">
        <v>60</v>
      </c>
      <c r="Q565" s="93"/>
      <c r="R565" s="93"/>
      <c r="S565" s="95"/>
      <c r="T565" s="17"/>
    </row>
    <row r="566" spans="1:21">
      <c r="A566" s="34">
        <v>43189</v>
      </c>
      <c r="B566" s="37"/>
      <c r="C566" s="37"/>
      <c r="D566" s="37"/>
      <c r="E566" s="37"/>
      <c r="F566" s="37"/>
      <c r="G566" s="37" t="e">
        <f>D567*3</f>
        <v>#REF!</v>
      </c>
      <c r="H566" s="37"/>
      <c r="I566" s="37"/>
      <c r="J566" s="37">
        <v>-450</v>
      </c>
      <c r="K566" s="37"/>
      <c r="L566" s="14"/>
      <c r="M566" s="16"/>
      <c r="N566" s="85" t="s">
        <v>64</v>
      </c>
      <c r="Q566" s="93"/>
      <c r="R566" s="93"/>
      <c r="S566" s="95"/>
      <c r="T566" s="17"/>
    </row>
    <row r="567" spans="1:21">
      <c r="A567" s="34"/>
      <c r="B567" s="37" t="e">
        <f>#REF!</f>
        <v>#REF!</v>
      </c>
      <c r="C567" s="37"/>
      <c r="D567" s="37" t="e">
        <f>#REF!-B565</f>
        <v>#REF!</v>
      </c>
      <c r="E567" s="37"/>
      <c r="F567" s="37"/>
      <c r="G567" s="37"/>
      <c r="H567" s="37"/>
      <c r="I567" s="37"/>
      <c r="J567" s="37"/>
      <c r="K567" s="37"/>
      <c r="L567" s="14"/>
      <c r="M567" s="16"/>
      <c r="N567" s="85" t="s">
        <v>65</v>
      </c>
      <c r="Q567" s="93"/>
      <c r="R567" s="93"/>
      <c r="S567" s="95"/>
      <c r="T567" s="17"/>
    </row>
    <row r="568" spans="1:21">
      <c r="A568" s="34"/>
      <c r="B568" s="37"/>
      <c r="C568" s="37"/>
      <c r="D568" s="37"/>
      <c r="E568" s="37"/>
      <c r="F568" s="37"/>
      <c r="G568" s="37" t="e">
        <f>D569*3</f>
        <v>#REF!</v>
      </c>
      <c r="H568" s="37"/>
      <c r="I568" s="37" t="e">
        <f>G569*12.5</f>
        <v>#REF!</v>
      </c>
      <c r="J568" s="37">
        <v>-450</v>
      </c>
      <c r="K568" s="37"/>
      <c r="L568" s="14"/>
      <c r="M568" s="16"/>
      <c r="N568" s="85" t="s">
        <v>58</v>
      </c>
      <c r="Q568" s="93"/>
      <c r="R568" s="93"/>
      <c r="S568" s="95"/>
      <c r="T568" s="17"/>
    </row>
    <row r="569" spans="1:21">
      <c r="A569" s="34">
        <v>43189</v>
      </c>
      <c r="B569" s="37"/>
      <c r="C569" s="37"/>
      <c r="D569" s="37" t="e">
        <f>#REF!-B567</f>
        <v>#REF!</v>
      </c>
      <c r="E569" s="37"/>
      <c r="F569" s="37"/>
      <c r="G569" s="37" t="e">
        <f>SUM(G560:G568)</f>
        <v>#REF!</v>
      </c>
      <c r="H569" s="37"/>
      <c r="I569" s="37"/>
      <c r="J569" s="37">
        <f>SUM(J560:J568)</f>
        <v>-1350</v>
      </c>
      <c r="K569" s="37"/>
      <c r="L569" s="14"/>
      <c r="M569" s="16"/>
      <c r="N569" s="85" t="s">
        <v>60</v>
      </c>
      <c r="P569" s="85" t="s">
        <v>63</v>
      </c>
      <c r="Q569" s="93"/>
      <c r="R569" s="93"/>
      <c r="S569" s="95"/>
      <c r="T569" s="17"/>
    </row>
    <row r="570" spans="1:21">
      <c r="A570" s="34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14"/>
      <c r="M570" s="16"/>
      <c r="P570" s="85" t="s">
        <v>63</v>
      </c>
      <c r="Q570" s="93"/>
      <c r="R570" s="93"/>
      <c r="S570" s="95"/>
      <c r="T570" s="17"/>
    </row>
    <row r="571" spans="1:21">
      <c r="A571" s="34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14"/>
      <c r="M571" s="16"/>
      <c r="P571" s="85" t="s">
        <v>69</v>
      </c>
      <c r="Q571" s="93"/>
      <c r="R571" s="93"/>
      <c r="S571" s="93"/>
      <c r="T571" s="17"/>
    </row>
    <row r="572" spans="1:21">
      <c r="A572" s="34"/>
      <c r="B572" s="12" t="s">
        <v>44</v>
      </c>
      <c r="C572" s="37"/>
      <c r="D572" s="37"/>
      <c r="E572" s="37"/>
      <c r="F572" s="37"/>
      <c r="G572" s="37"/>
      <c r="H572" s="37"/>
      <c r="I572" s="27" t="s">
        <v>47</v>
      </c>
      <c r="J572" s="37"/>
      <c r="K572" s="36"/>
      <c r="L572" s="14"/>
      <c r="M572" s="15"/>
      <c r="P572" s="85" t="s">
        <v>63</v>
      </c>
      <c r="Q572" s="93"/>
      <c r="R572" s="93"/>
      <c r="S572" s="93"/>
      <c r="T572" s="17"/>
      <c r="U572" s="17"/>
    </row>
    <row r="573" spans="1:21">
      <c r="A573" s="34"/>
      <c r="B573" s="37" t="e">
        <f>#REF!</f>
        <v>#REF!</v>
      </c>
      <c r="C573" s="37"/>
      <c r="D573" s="37"/>
      <c r="E573" s="27" t="s">
        <v>52</v>
      </c>
      <c r="F573" s="37"/>
      <c r="G573" s="27" t="s">
        <v>46</v>
      </c>
      <c r="H573" s="27"/>
      <c r="I573" s="37">
        <f>G574*10</f>
        <v>-2080</v>
      </c>
      <c r="J573" s="36" t="s">
        <v>16</v>
      </c>
      <c r="K573" s="37"/>
      <c r="L573" s="14"/>
      <c r="M573" s="15"/>
      <c r="N573" s="85" t="s">
        <v>63</v>
      </c>
      <c r="Q573" s="93"/>
      <c r="R573" s="93"/>
      <c r="S573" s="93"/>
      <c r="T573" s="17"/>
      <c r="U573" s="17"/>
    </row>
    <row r="574" spans="1:21">
      <c r="A574" s="34">
        <v>43189</v>
      </c>
      <c r="B574" s="37"/>
      <c r="C574" s="27"/>
      <c r="D574" s="27" t="s">
        <v>45</v>
      </c>
      <c r="E574" s="37"/>
      <c r="F574" s="27" t="s">
        <v>52</v>
      </c>
      <c r="G574" s="37">
        <f>D575*2</f>
        <v>-208</v>
      </c>
      <c r="H574" s="37"/>
      <c r="I574" s="37"/>
      <c r="J574" s="37">
        <v>-300</v>
      </c>
      <c r="K574" s="27"/>
      <c r="L574" s="14"/>
      <c r="M574" s="15"/>
      <c r="N574" s="85" t="s">
        <v>63</v>
      </c>
      <c r="Q574" s="93"/>
      <c r="R574" s="93"/>
      <c r="S574" s="93"/>
      <c r="T574" s="17"/>
      <c r="U574" s="17"/>
    </row>
    <row r="575" spans="1:21">
      <c r="A575" s="33"/>
      <c r="B575" s="37" t="e">
        <f>#REF!</f>
        <v>#REF!</v>
      </c>
      <c r="C575" s="37"/>
      <c r="D575" s="37">
        <v>-104</v>
      </c>
      <c r="E575" s="27"/>
      <c r="F575" s="37"/>
      <c r="G575" s="27"/>
      <c r="H575" s="27"/>
      <c r="I575" s="37" t="e">
        <f>G576*10</f>
        <v>#REF!</v>
      </c>
      <c r="J575" s="27"/>
      <c r="K575" s="37"/>
      <c r="L575" s="14"/>
      <c r="M575" s="16"/>
      <c r="N575" s="85" t="s">
        <v>69</v>
      </c>
      <c r="Q575" s="93"/>
      <c r="R575" s="93"/>
      <c r="S575" s="93"/>
      <c r="T575" s="17"/>
      <c r="U575" s="17"/>
    </row>
    <row r="576" spans="1:21">
      <c r="A576" s="33"/>
      <c r="B576" s="37"/>
      <c r="C576" s="37"/>
      <c r="D576" s="27"/>
      <c r="E576" s="37"/>
      <c r="F576" s="27"/>
      <c r="G576" s="37" t="e">
        <f>D577</f>
        <v>#REF!</v>
      </c>
      <c r="H576" s="37"/>
      <c r="I576" s="37"/>
      <c r="J576" s="37">
        <v>-150</v>
      </c>
      <c r="K576" s="37"/>
      <c r="L576" s="14"/>
      <c r="M576" s="16"/>
      <c r="N576" s="85" t="s">
        <v>63</v>
      </c>
      <c r="P576" s="85">
        <v>14243</v>
      </c>
      <c r="Q576" s="93"/>
      <c r="R576" s="93"/>
      <c r="S576" s="93"/>
      <c r="T576" s="17"/>
      <c r="U576" s="17"/>
    </row>
    <row r="577" spans="1:21">
      <c r="A577" s="33"/>
      <c r="B577" s="37" t="e">
        <f>#REF!</f>
        <v>#REF!</v>
      </c>
      <c r="C577" s="37"/>
      <c r="D577" s="37" t="e">
        <f>B575-#REF!</f>
        <v>#REF!</v>
      </c>
      <c r="E577" s="37"/>
      <c r="F577" s="37"/>
      <c r="G577" s="37"/>
      <c r="H577" s="37"/>
      <c r="I577" s="37" t="e">
        <f>G578*10</f>
        <v>#REF!</v>
      </c>
      <c r="J577" s="37"/>
      <c r="K577" s="37"/>
      <c r="L577" s="14"/>
      <c r="M577" s="16"/>
      <c r="P577" s="85" t="s">
        <v>64</v>
      </c>
      <c r="Q577" s="93"/>
      <c r="R577" s="93"/>
      <c r="S577" s="93"/>
      <c r="T577" s="17"/>
      <c r="U577" s="17"/>
    </row>
    <row r="578" spans="1:21">
      <c r="A578" s="33"/>
      <c r="B578" s="37"/>
      <c r="C578" s="37"/>
      <c r="D578" s="37"/>
      <c r="E578" s="37"/>
      <c r="F578" s="37"/>
      <c r="G578" s="37" t="e">
        <f>D579</f>
        <v>#REF!</v>
      </c>
      <c r="H578" s="37"/>
      <c r="I578" s="37"/>
      <c r="J578" s="37">
        <v>-150</v>
      </c>
      <c r="K578" s="37"/>
      <c r="L578" s="14"/>
      <c r="M578" s="16"/>
      <c r="P578" s="85" t="s">
        <v>64</v>
      </c>
      <c r="Q578" s="93"/>
      <c r="R578" s="93"/>
      <c r="S578" s="95"/>
      <c r="T578" s="17"/>
      <c r="U578" s="17"/>
    </row>
    <row r="579" spans="1:21">
      <c r="A579" s="33"/>
      <c r="B579" s="37" t="e">
        <f>#REF!</f>
        <v>#REF!</v>
      </c>
      <c r="C579" s="37"/>
      <c r="D579" s="37" t="e">
        <f>B577-#REF!</f>
        <v>#REF!</v>
      </c>
      <c r="E579" s="37"/>
      <c r="F579" s="37"/>
      <c r="G579" s="37"/>
      <c r="H579" s="37"/>
      <c r="I579" s="37" t="e">
        <f>G580*10</f>
        <v>#REF!</v>
      </c>
      <c r="J579" s="37"/>
      <c r="K579" s="37"/>
      <c r="L579" s="14"/>
      <c r="M579" s="16"/>
      <c r="Q579" s="93"/>
      <c r="R579" s="93"/>
      <c r="S579" s="95"/>
      <c r="T579" s="17"/>
      <c r="U579" s="17"/>
    </row>
    <row r="580" spans="1:21">
      <c r="A580" s="33"/>
      <c r="B580" s="37"/>
      <c r="C580" s="37"/>
      <c r="D580" s="37"/>
      <c r="E580" s="37"/>
      <c r="F580" s="37"/>
      <c r="G580" s="37" t="e">
        <f>D581</f>
        <v>#REF!</v>
      </c>
      <c r="H580" s="37"/>
      <c r="I580" s="37"/>
      <c r="J580" s="37">
        <v>-150</v>
      </c>
      <c r="K580" s="37"/>
      <c r="L580" s="14"/>
      <c r="M580" s="16"/>
      <c r="N580" s="85">
        <v>14243</v>
      </c>
      <c r="Q580" s="93"/>
      <c r="R580" s="93"/>
      <c r="S580" s="95"/>
      <c r="T580" s="17"/>
    </row>
    <row r="581" spans="1:21">
      <c r="A581" s="33"/>
      <c r="B581" s="37" t="e">
        <f>#REF!</f>
        <v>#REF!</v>
      </c>
      <c r="C581" s="37"/>
      <c r="D581" s="37" t="e">
        <f>B579-#REF!</f>
        <v>#REF!</v>
      </c>
      <c r="E581" s="37"/>
      <c r="F581" s="37"/>
      <c r="G581" s="37"/>
      <c r="H581" s="37"/>
      <c r="I581" s="37" t="e">
        <f>G582*10</f>
        <v>#REF!</v>
      </c>
      <c r="J581" s="37"/>
      <c r="K581" s="37"/>
      <c r="L581" s="14"/>
      <c r="M581" s="16"/>
      <c r="N581" s="85" t="s">
        <v>64</v>
      </c>
      <c r="Q581" s="93"/>
      <c r="R581" s="96"/>
      <c r="S581" s="95"/>
      <c r="T581" s="17"/>
    </row>
    <row r="582" spans="1:21">
      <c r="A582" s="33"/>
      <c r="B582" s="37"/>
      <c r="C582" s="37"/>
      <c r="D582" s="37"/>
      <c r="E582" s="37"/>
      <c r="F582" s="37"/>
      <c r="G582" s="37" t="e">
        <f>D583</f>
        <v>#REF!</v>
      </c>
      <c r="H582" s="37"/>
      <c r="I582" s="37" t="e">
        <f>SUM(I573:I581)</f>
        <v>#REF!</v>
      </c>
      <c r="J582" s="37">
        <v>-150</v>
      </c>
      <c r="K582" s="37"/>
      <c r="L582" s="14"/>
      <c r="M582" s="16"/>
      <c r="N582" s="85" t="s">
        <v>64</v>
      </c>
      <c r="P582" s="85" t="s">
        <v>69</v>
      </c>
      <c r="Q582" s="93"/>
      <c r="R582" s="96"/>
      <c r="S582" s="95"/>
      <c r="T582" s="17"/>
    </row>
    <row r="583" spans="1:21">
      <c r="A583" s="33" t="s">
        <v>71</v>
      </c>
      <c r="B583" s="37">
        <v>7759</v>
      </c>
      <c r="C583" s="37"/>
      <c r="D583" s="37" t="e">
        <f>B581-#REF!</f>
        <v>#REF!</v>
      </c>
      <c r="E583" s="37"/>
      <c r="F583" s="37"/>
      <c r="G583" s="37" t="e">
        <f>SUM(G574:G582)</f>
        <v>#REF!</v>
      </c>
      <c r="H583" s="37"/>
      <c r="I583" s="37"/>
      <c r="J583" s="37">
        <f>SUM(J574:J582)</f>
        <v>-900</v>
      </c>
      <c r="K583" s="37"/>
      <c r="L583" s="14"/>
      <c r="M583" s="16"/>
      <c r="Q583" s="93"/>
      <c r="R583" s="96"/>
      <c r="S583" s="95"/>
      <c r="T583" s="17"/>
    </row>
    <row r="584" spans="1:21">
      <c r="A584" s="33">
        <v>9551</v>
      </c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14"/>
      <c r="M584" s="16"/>
      <c r="Q584" s="96"/>
      <c r="R584" s="96"/>
      <c r="S584" s="95"/>
      <c r="T584" s="17"/>
    </row>
    <row r="585" spans="1:21">
      <c r="A585" s="33" t="s">
        <v>72</v>
      </c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14"/>
      <c r="M585" s="16"/>
      <c r="Q585" s="96"/>
      <c r="R585" s="96"/>
      <c r="S585" s="95"/>
      <c r="T585" s="17"/>
    </row>
    <row r="586" spans="1:21">
      <c r="A586" s="33">
        <v>9408</v>
      </c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14"/>
      <c r="M586" s="16"/>
      <c r="N586" s="85" t="s">
        <v>69</v>
      </c>
      <c r="Q586" s="96"/>
      <c r="R586" s="96"/>
      <c r="S586" s="95"/>
      <c r="T586" s="17"/>
    </row>
    <row r="587" spans="1:21">
      <c r="A587" s="33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14"/>
      <c r="M587" s="16"/>
      <c r="P587" s="85" t="s">
        <v>65</v>
      </c>
      <c r="Q587" s="96"/>
      <c r="R587" s="96"/>
      <c r="S587" s="95"/>
      <c r="T587" s="17"/>
    </row>
    <row r="588" spans="1:21">
      <c r="A588" s="33"/>
      <c r="B588" s="36" t="s">
        <v>44</v>
      </c>
      <c r="C588" s="37"/>
      <c r="D588" s="37"/>
      <c r="E588" s="37"/>
      <c r="F588" s="37"/>
      <c r="G588" s="37"/>
      <c r="H588" s="37"/>
      <c r="I588" s="27" t="s">
        <v>47</v>
      </c>
      <c r="J588" s="37"/>
      <c r="K588" s="36"/>
      <c r="L588" s="14"/>
      <c r="M588" s="15"/>
      <c r="P588" s="85" t="s">
        <v>65</v>
      </c>
      <c r="Q588" s="96"/>
      <c r="R588" s="96"/>
      <c r="S588" s="95"/>
      <c r="T588" s="17"/>
    </row>
    <row r="589" spans="1:21">
      <c r="A589" s="33"/>
      <c r="B589" s="37">
        <v>8097</v>
      </c>
      <c r="C589" s="37"/>
      <c r="D589" s="37"/>
      <c r="E589" s="27" t="s">
        <v>52</v>
      </c>
      <c r="F589" s="37"/>
      <c r="G589" s="27" t="s">
        <v>46</v>
      </c>
      <c r="H589" s="27"/>
      <c r="I589" s="37" t="e">
        <f>G590*10</f>
        <v>#REF!</v>
      </c>
      <c r="J589" s="36" t="s">
        <v>16</v>
      </c>
      <c r="K589" s="37"/>
      <c r="L589" s="14"/>
      <c r="M589" s="15"/>
      <c r="P589" s="85" t="s">
        <v>65</v>
      </c>
      <c r="Q589" s="96"/>
      <c r="R589" s="96"/>
      <c r="T589" s="17"/>
    </row>
    <row r="590" spans="1:21">
      <c r="A590" s="33"/>
      <c r="B590" s="37"/>
      <c r="C590" s="27"/>
      <c r="D590" s="27" t="s">
        <v>45</v>
      </c>
      <c r="E590" s="37"/>
      <c r="F590" s="27" t="s">
        <v>52</v>
      </c>
      <c r="G590" s="37" t="e">
        <f>D591</f>
        <v>#REF!</v>
      </c>
      <c r="H590" s="37"/>
      <c r="I590" s="37"/>
      <c r="J590" s="37">
        <v>-100</v>
      </c>
      <c r="K590" s="27"/>
      <c r="L590" s="14"/>
      <c r="M590" s="15"/>
      <c r="P590" s="85" t="s">
        <v>65</v>
      </c>
      <c r="Q590" s="96"/>
      <c r="R590" s="96"/>
      <c r="T590" s="17"/>
    </row>
    <row r="591" spans="1:21">
      <c r="A591" s="33" t="s">
        <v>74</v>
      </c>
      <c r="B591" s="37" t="e">
        <f>#REF!</f>
        <v>#REF!</v>
      </c>
      <c r="C591" s="37"/>
      <c r="D591" s="37" t="e">
        <f>#REF!-B589</f>
        <v>#REF!</v>
      </c>
      <c r="E591" s="27"/>
      <c r="F591" s="37"/>
      <c r="G591" s="27"/>
      <c r="H591" s="27"/>
      <c r="I591" s="37" t="e">
        <f>G592*6.25</f>
        <v>#REF!</v>
      </c>
      <c r="J591" s="27"/>
      <c r="K591" s="37"/>
      <c r="L591" s="14"/>
      <c r="M591" s="16"/>
      <c r="N591" s="85" t="s">
        <v>65</v>
      </c>
      <c r="P591" s="85" t="s">
        <v>65</v>
      </c>
      <c r="Q591" s="96"/>
      <c r="R591" s="96"/>
      <c r="T591" s="17"/>
    </row>
    <row r="592" spans="1:21">
      <c r="A592" s="33">
        <v>7643</v>
      </c>
      <c r="B592" s="37"/>
      <c r="C592" s="37"/>
      <c r="D592" s="27"/>
      <c r="E592" s="37"/>
      <c r="F592" s="27"/>
      <c r="G592" s="37" t="e">
        <f>D593</f>
        <v>#REF!</v>
      </c>
      <c r="H592" s="37"/>
      <c r="I592" s="37"/>
      <c r="J592" s="37">
        <v>-150</v>
      </c>
      <c r="K592" s="37"/>
      <c r="L592" s="14"/>
      <c r="M592" s="16"/>
      <c r="N592" s="85" t="s">
        <v>65</v>
      </c>
      <c r="Q592" s="96"/>
      <c r="R592" s="96"/>
      <c r="S592" s="95"/>
      <c r="T592" s="17"/>
    </row>
    <row r="593" spans="1:20">
      <c r="A593" s="33" t="s">
        <v>72</v>
      </c>
      <c r="B593" s="37">
        <v>7946</v>
      </c>
      <c r="C593" s="37"/>
      <c r="D593" s="37" t="e">
        <f>B591-#REF!</f>
        <v>#REF!</v>
      </c>
      <c r="E593" s="37"/>
      <c r="F593" s="37"/>
      <c r="G593" s="37"/>
      <c r="H593" s="37"/>
      <c r="I593" s="37"/>
      <c r="J593" s="37"/>
      <c r="K593" s="37"/>
      <c r="L593" s="14"/>
      <c r="M593" s="16"/>
      <c r="N593" s="85" t="s">
        <v>65</v>
      </c>
      <c r="O593" s="97"/>
      <c r="Q593" s="96"/>
      <c r="R593" s="96"/>
      <c r="S593" s="95"/>
      <c r="T593" s="17"/>
    </row>
    <row r="594" spans="1:20">
      <c r="A594" s="33">
        <v>7677</v>
      </c>
      <c r="B594" s="37"/>
      <c r="C594" s="37"/>
      <c r="D594" s="37"/>
      <c r="E594" s="37" t="s">
        <v>59</v>
      </c>
      <c r="F594" s="37"/>
      <c r="G594" s="37" t="e">
        <f>D595</f>
        <v>#REF!</v>
      </c>
      <c r="H594" s="37"/>
      <c r="I594" s="37"/>
      <c r="J594" s="37">
        <v>-300</v>
      </c>
      <c r="K594" s="37"/>
      <c r="L594" s="14"/>
      <c r="M594" s="16"/>
      <c r="N594" s="85" t="s">
        <v>65</v>
      </c>
      <c r="O594" s="97"/>
      <c r="Q594" s="96"/>
      <c r="R594" s="96"/>
      <c r="S594" s="93"/>
      <c r="T594" s="17"/>
    </row>
    <row r="595" spans="1:20">
      <c r="A595" s="33"/>
      <c r="B595" s="37">
        <v>7962</v>
      </c>
      <c r="C595" s="37"/>
      <c r="D595" s="37" t="e">
        <f>B593-#REF!</f>
        <v>#REF!</v>
      </c>
      <c r="E595" s="37"/>
      <c r="F595" s="37" t="s">
        <v>59</v>
      </c>
      <c r="G595" s="37"/>
      <c r="H595" s="37"/>
      <c r="I595" s="37"/>
      <c r="J595" s="37"/>
      <c r="K595" s="37"/>
      <c r="L595" s="14"/>
      <c r="M595" s="16"/>
      <c r="N595" s="85" t="s">
        <v>65</v>
      </c>
      <c r="O595" s="97"/>
      <c r="P595" s="85" t="s">
        <v>58</v>
      </c>
      <c r="Q595" s="96"/>
      <c r="R595" s="96"/>
      <c r="S595" s="93"/>
      <c r="T595" s="17"/>
    </row>
    <row r="596" spans="1:20">
      <c r="A596" s="33"/>
      <c r="B596" s="37"/>
      <c r="C596" s="37"/>
      <c r="D596" s="37"/>
      <c r="E596" s="37" t="s">
        <v>61</v>
      </c>
      <c r="F596" s="37"/>
      <c r="G596" s="37" t="e">
        <f>(D597)*3</f>
        <v>#REF!</v>
      </c>
      <c r="H596" s="37"/>
      <c r="I596" s="37"/>
      <c r="J596" s="37">
        <v>-325</v>
      </c>
      <c r="K596" s="37"/>
      <c r="L596" s="14"/>
      <c r="M596" s="16"/>
      <c r="O596" s="97"/>
      <c r="Q596" s="96"/>
      <c r="R596" s="96"/>
      <c r="S596" s="93"/>
      <c r="T596" s="17"/>
    </row>
    <row r="597" spans="1:20">
      <c r="A597" s="33" t="s">
        <v>74</v>
      </c>
      <c r="B597" s="37">
        <v>7914</v>
      </c>
      <c r="C597" s="37"/>
      <c r="D597" s="37" t="e">
        <f>B595-#REF!</f>
        <v>#REF!</v>
      </c>
      <c r="E597" s="37"/>
      <c r="F597" s="37" t="s">
        <v>61</v>
      </c>
      <c r="G597" s="37"/>
      <c r="H597" s="37"/>
      <c r="I597" s="37"/>
      <c r="J597" s="37"/>
      <c r="K597" s="37"/>
      <c r="L597" s="14"/>
      <c r="M597" s="16"/>
      <c r="O597" s="97"/>
      <c r="Q597" s="96"/>
      <c r="R597" s="96"/>
      <c r="S597" s="93"/>
    </row>
    <row r="598" spans="1:20">
      <c r="A598" s="33">
        <v>7618</v>
      </c>
      <c r="B598" s="37"/>
      <c r="C598" s="37"/>
      <c r="D598" s="37"/>
      <c r="E598" s="37"/>
      <c r="F598" s="37"/>
      <c r="G598" s="37" t="e">
        <f>D599*3</f>
        <v>#REF!</v>
      </c>
      <c r="H598" s="37"/>
      <c r="I598" s="37" t="e">
        <f>G599*10</f>
        <v>#REF!</v>
      </c>
      <c r="J598" s="37"/>
      <c r="K598" s="37"/>
      <c r="L598" s="14"/>
      <c r="M598" s="16"/>
      <c r="O598" s="97"/>
      <c r="Q598" s="96"/>
      <c r="R598" s="96"/>
      <c r="S598" s="93"/>
    </row>
    <row r="599" spans="1:20">
      <c r="A599" s="33" t="s">
        <v>72</v>
      </c>
      <c r="B599" s="37">
        <v>7791</v>
      </c>
      <c r="C599" s="37"/>
      <c r="D599" s="37" t="e">
        <f>B597-#REF!</f>
        <v>#REF!</v>
      </c>
      <c r="E599" s="37"/>
      <c r="F599" s="37"/>
      <c r="G599" s="37" t="e">
        <f>SUM(G590:G598)</f>
        <v>#REF!</v>
      </c>
      <c r="H599" s="37"/>
      <c r="I599" s="37"/>
      <c r="J599" s="37">
        <f>SUM(J590:J598)</f>
        <v>-875</v>
      </c>
      <c r="K599" s="37"/>
      <c r="L599" s="14"/>
      <c r="M599" s="16"/>
      <c r="N599" s="85" t="s">
        <v>58</v>
      </c>
      <c r="O599" s="97"/>
      <c r="Q599" s="96"/>
      <c r="R599" s="96"/>
      <c r="S599" s="93"/>
    </row>
    <row r="600" spans="1:20">
      <c r="A600" s="33">
        <v>7750</v>
      </c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14"/>
      <c r="M600" s="16"/>
      <c r="P600" s="85" t="s">
        <v>60</v>
      </c>
      <c r="Q600" s="96"/>
      <c r="R600" s="96"/>
      <c r="S600" s="93"/>
    </row>
    <row r="601" spans="1:20">
      <c r="A601" s="33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14"/>
      <c r="M601" s="16"/>
      <c r="Q601" s="96"/>
      <c r="R601" s="96"/>
      <c r="S601" s="93"/>
    </row>
    <row r="602" spans="1:20">
      <c r="A602" s="33"/>
      <c r="B602" s="11" t="s">
        <v>63</v>
      </c>
      <c r="C602" s="37"/>
      <c r="D602" s="37"/>
      <c r="E602" s="37"/>
      <c r="F602" s="37"/>
      <c r="G602" s="37"/>
      <c r="H602" s="37"/>
      <c r="I602" s="37"/>
      <c r="J602" s="37"/>
      <c r="K602" s="37"/>
      <c r="L602" s="14"/>
      <c r="M602" s="16"/>
      <c r="Q602" s="96"/>
      <c r="R602" s="96"/>
      <c r="S602" s="93"/>
    </row>
    <row r="603" spans="1:20">
      <c r="A603" s="33"/>
      <c r="B603" s="11" t="s">
        <v>64</v>
      </c>
      <c r="C603" s="37"/>
      <c r="D603" s="37"/>
      <c r="E603" s="37"/>
      <c r="F603" s="37"/>
      <c r="G603" s="37"/>
      <c r="H603" s="37"/>
      <c r="I603" s="37"/>
      <c r="J603" s="37"/>
      <c r="K603" s="37"/>
      <c r="L603" s="14"/>
      <c r="M603" s="16"/>
      <c r="Q603" s="96"/>
      <c r="R603" s="96"/>
      <c r="S603" s="93"/>
    </row>
    <row r="604" spans="1:20">
      <c r="A604" s="33"/>
      <c r="B604" s="11" t="s">
        <v>65</v>
      </c>
      <c r="C604" s="27"/>
      <c r="D604" s="37">
        <f>J544</f>
        <v>-1250</v>
      </c>
      <c r="E604" s="37"/>
      <c r="F604" s="37"/>
      <c r="G604" s="37"/>
      <c r="H604" s="37"/>
      <c r="I604" s="37"/>
      <c r="J604" s="37"/>
      <c r="K604" s="37"/>
      <c r="L604" s="14"/>
      <c r="M604" s="16"/>
      <c r="N604" s="85" t="s">
        <v>60</v>
      </c>
      <c r="Q604" s="96"/>
      <c r="R604" s="96"/>
      <c r="S604" s="93"/>
    </row>
    <row r="605" spans="1:20">
      <c r="A605" s="33"/>
      <c r="B605" s="11" t="s">
        <v>58</v>
      </c>
      <c r="C605" s="27"/>
      <c r="D605" s="37">
        <v>-2138</v>
      </c>
      <c r="E605" s="37"/>
      <c r="F605" s="37"/>
      <c r="G605" s="37"/>
      <c r="H605" s="37"/>
      <c r="I605" s="37"/>
      <c r="J605" s="37"/>
      <c r="K605" s="37"/>
      <c r="L605" s="14"/>
      <c r="M605" s="16"/>
      <c r="Q605" s="96"/>
      <c r="R605" s="96"/>
      <c r="S605" s="93"/>
    </row>
    <row r="606" spans="1:20">
      <c r="A606" s="33"/>
      <c r="B606" s="11" t="s">
        <v>60</v>
      </c>
      <c r="C606" s="27"/>
      <c r="D606" s="37">
        <f>L568</f>
        <v>0</v>
      </c>
      <c r="E606" s="37"/>
      <c r="F606" s="37"/>
      <c r="G606" s="37"/>
      <c r="H606" s="37"/>
      <c r="I606" s="37"/>
      <c r="J606" s="37"/>
      <c r="K606" s="37"/>
      <c r="L606" s="14"/>
      <c r="M606" s="16"/>
      <c r="Q606" s="96"/>
      <c r="R606" s="96"/>
      <c r="S606" s="93"/>
    </row>
    <row r="607" spans="1:20">
      <c r="A607" s="33"/>
      <c r="B607" s="37"/>
      <c r="C607" s="27"/>
      <c r="D607" s="37">
        <v>-1390</v>
      </c>
      <c r="E607" s="37"/>
      <c r="F607" s="37"/>
      <c r="G607" s="37"/>
      <c r="H607" s="37"/>
      <c r="I607" s="37"/>
      <c r="J607" s="37"/>
      <c r="K607" s="37"/>
      <c r="L607" s="14"/>
      <c r="M607" s="38"/>
      <c r="Q607" s="96"/>
      <c r="R607" s="96"/>
      <c r="S607" s="93"/>
    </row>
    <row r="608" spans="1:20">
      <c r="A608" s="33"/>
      <c r="B608" s="37"/>
      <c r="C608" s="27"/>
      <c r="D608" s="37">
        <v>4465</v>
      </c>
      <c r="E608" s="37"/>
      <c r="F608" s="37"/>
      <c r="G608" s="37"/>
      <c r="H608" s="37"/>
      <c r="I608" s="37"/>
      <c r="J608" s="37"/>
      <c r="K608" s="37"/>
      <c r="L608" s="14"/>
      <c r="M608" s="38"/>
      <c r="Q608" s="96"/>
      <c r="R608" s="96"/>
      <c r="S608" s="93"/>
    </row>
    <row r="609" spans="1:19">
      <c r="A609" s="33"/>
      <c r="B609" s="37"/>
      <c r="C609" s="37"/>
      <c r="D609" s="37">
        <f>SUM(D604:D608)</f>
        <v>-313</v>
      </c>
      <c r="E609" s="37"/>
      <c r="F609" s="37"/>
      <c r="G609" s="37"/>
      <c r="H609" s="37"/>
      <c r="I609" s="37"/>
      <c r="J609" s="37"/>
      <c r="K609" s="37"/>
      <c r="L609" s="14"/>
      <c r="M609" s="38" t="s">
        <v>67</v>
      </c>
      <c r="Q609" s="96"/>
      <c r="R609" s="96"/>
      <c r="S609" s="93"/>
    </row>
    <row r="610" spans="1:19">
      <c r="A610" s="34">
        <v>43189</v>
      </c>
      <c r="B610" s="11" t="s">
        <v>63</v>
      </c>
      <c r="C610" s="37"/>
      <c r="D610" s="37"/>
      <c r="E610" s="37" t="s">
        <v>66</v>
      </c>
      <c r="F610" s="37"/>
      <c r="G610" s="37"/>
      <c r="H610" s="37"/>
      <c r="I610" s="37">
        <v>12250</v>
      </c>
      <c r="J610" s="37"/>
      <c r="K610" s="37"/>
      <c r="L610" s="14"/>
      <c r="M610" s="38">
        <f>10.5*-6</f>
        <v>-63</v>
      </c>
      <c r="Q610" s="96"/>
      <c r="R610" s="96"/>
      <c r="S610" s="93"/>
    </row>
    <row r="611" spans="1:19">
      <c r="A611" s="34">
        <v>43189</v>
      </c>
      <c r="B611" s="11" t="s">
        <v>63</v>
      </c>
      <c r="C611" s="37"/>
      <c r="D611" s="37" t="s">
        <v>66</v>
      </c>
      <c r="E611" s="37">
        <v>12150</v>
      </c>
      <c r="F611" s="37" t="s">
        <v>66</v>
      </c>
      <c r="G611" s="37">
        <v>12200</v>
      </c>
      <c r="H611" s="37"/>
      <c r="I611" s="37">
        <v>12250</v>
      </c>
      <c r="J611" s="37">
        <v>12300</v>
      </c>
      <c r="K611" s="37"/>
      <c r="L611" s="14"/>
      <c r="M611" s="38">
        <f>8.5*-36</f>
        <v>-306</v>
      </c>
      <c r="Q611" s="96"/>
      <c r="R611" s="96"/>
      <c r="S611" s="93"/>
    </row>
    <row r="612" spans="1:19">
      <c r="A612" s="34">
        <v>43189</v>
      </c>
      <c r="B612" s="11" t="s">
        <v>69</v>
      </c>
      <c r="C612" s="27"/>
      <c r="D612" s="37">
        <v>12100</v>
      </c>
      <c r="E612" s="37"/>
      <c r="F612" s="37">
        <v>12150</v>
      </c>
      <c r="G612" s="37">
        <v>12200</v>
      </c>
      <c r="H612" s="37"/>
      <c r="I612" s="37"/>
      <c r="J612" s="37">
        <v>12300</v>
      </c>
      <c r="K612" s="37"/>
      <c r="L612" s="14"/>
      <c r="M612" s="38">
        <f>-36</f>
        <v>-36</v>
      </c>
      <c r="Q612" s="96"/>
      <c r="R612" s="96"/>
      <c r="S612" s="93"/>
    </row>
    <row r="613" spans="1:19">
      <c r="A613" s="34">
        <v>43189</v>
      </c>
      <c r="B613" s="11" t="s">
        <v>63</v>
      </c>
      <c r="C613" s="27"/>
      <c r="D613" s="37"/>
      <c r="E613" s="37"/>
      <c r="F613" s="37"/>
      <c r="G613" s="37"/>
      <c r="H613" s="37"/>
      <c r="I613" s="37"/>
      <c r="J613" s="37"/>
      <c r="K613" s="37"/>
      <c r="L613" s="14"/>
      <c r="M613" s="38">
        <f>SUM(M610:M612)</f>
        <v>-405</v>
      </c>
      <c r="P613" s="85" t="s">
        <v>68</v>
      </c>
      <c r="Q613" s="96"/>
      <c r="R613" s="96"/>
      <c r="S613" s="93"/>
    </row>
    <row r="614" spans="1:19">
      <c r="A614" s="34">
        <v>43189</v>
      </c>
      <c r="B614" s="11"/>
      <c r="C614" s="27"/>
      <c r="D614" s="37"/>
      <c r="E614" s="37"/>
      <c r="F614" s="37"/>
      <c r="G614" s="37"/>
      <c r="H614" s="37"/>
      <c r="I614" s="37">
        <v>14150</v>
      </c>
      <c r="J614" s="37"/>
      <c r="K614" s="37"/>
      <c r="L614" s="14"/>
      <c r="M614" s="38"/>
      <c r="P614" s="85" t="s">
        <v>73</v>
      </c>
      <c r="Q614" s="96"/>
      <c r="R614" s="96"/>
      <c r="S614" s="93"/>
    </row>
    <row r="615" spans="1:19">
      <c r="A615" s="33"/>
      <c r="B615" s="11"/>
      <c r="C615" s="27"/>
      <c r="D615" s="37"/>
      <c r="E615" s="37"/>
      <c r="F615" s="37"/>
      <c r="G615" s="37"/>
      <c r="H615" s="37"/>
      <c r="I615" s="37">
        <v>-14050</v>
      </c>
      <c r="J615" s="37"/>
      <c r="K615" s="37"/>
      <c r="L615" s="14"/>
      <c r="M615" s="38"/>
      <c r="P615" s="85" t="s">
        <v>65</v>
      </c>
      <c r="Q615" s="96"/>
      <c r="R615" s="96"/>
      <c r="S615" s="93"/>
    </row>
    <row r="616" spans="1:19">
      <c r="A616" s="33"/>
      <c r="B616" s="11"/>
      <c r="C616" s="27"/>
      <c r="D616" s="37"/>
      <c r="E616" s="37"/>
      <c r="F616" s="37"/>
      <c r="G616" s="37"/>
      <c r="H616" s="37"/>
      <c r="I616" s="37">
        <f>SUM(I614:I615)*5.25</f>
        <v>525</v>
      </c>
      <c r="J616" s="37"/>
      <c r="K616" s="37"/>
      <c r="L616" s="14"/>
      <c r="M616" s="38"/>
      <c r="P616" s="85" t="s">
        <v>75</v>
      </c>
      <c r="Q616" s="96"/>
      <c r="R616" s="96"/>
      <c r="S616" s="93"/>
    </row>
    <row r="617" spans="1:19">
      <c r="A617" s="33"/>
      <c r="B617" s="11">
        <v>14243</v>
      </c>
      <c r="C617" s="27"/>
      <c r="D617" s="37"/>
      <c r="E617" s="37"/>
      <c r="F617" s="37"/>
      <c r="G617" s="37"/>
      <c r="H617" s="37"/>
      <c r="I617" s="37"/>
      <c r="J617" s="37"/>
      <c r="K617" s="37"/>
      <c r="L617" s="37"/>
      <c r="M617" s="38" t="s">
        <v>67</v>
      </c>
      <c r="N617" s="85" t="s">
        <v>68</v>
      </c>
      <c r="P617" s="85" t="s">
        <v>76</v>
      </c>
      <c r="Q617" s="96"/>
      <c r="R617" s="96"/>
      <c r="S617" s="93"/>
    </row>
    <row r="618" spans="1:19">
      <c r="A618" s="33"/>
      <c r="B618" s="11" t="s">
        <v>64</v>
      </c>
      <c r="C618" s="27"/>
      <c r="D618" s="37"/>
      <c r="E618" s="37" t="s">
        <v>66</v>
      </c>
      <c r="F618" s="37"/>
      <c r="G618" s="37"/>
      <c r="H618" s="37"/>
      <c r="I618" s="37">
        <f>G619+100</f>
        <v>13950</v>
      </c>
      <c r="J618" s="37"/>
      <c r="K618" s="37"/>
      <c r="L618" s="37"/>
      <c r="M618" s="37">
        <f>8.5*-36</f>
        <v>-306</v>
      </c>
      <c r="N618" s="85" t="s">
        <v>73</v>
      </c>
      <c r="Q618" s="96"/>
      <c r="R618" s="96"/>
      <c r="S618" s="93"/>
    </row>
    <row r="619" spans="1:19">
      <c r="A619" s="33"/>
      <c r="B619" s="11" t="s">
        <v>64</v>
      </c>
      <c r="C619" s="37"/>
      <c r="D619" s="37" t="s">
        <v>66</v>
      </c>
      <c r="E619" s="37">
        <f>D620+100</f>
        <v>13750</v>
      </c>
      <c r="F619" s="37" t="s">
        <v>66</v>
      </c>
      <c r="G619" s="37">
        <f>E619+100</f>
        <v>13850</v>
      </c>
      <c r="H619" s="37"/>
      <c r="I619" s="37">
        <v>139550</v>
      </c>
      <c r="J619" s="37">
        <f>I618+100</f>
        <v>14050</v>
      </c>
      <c r="K619" s="37"/>
      <c r="L619" s="37"/>
      <c r="M619" s="14">
        <f>8.5*-36</f>
        <v>-306</v>
      </c>
      <c r="N619" s="85" t="s">
        <v>65</v>
      </c>
      <c r="Q619" s="96"/>
      <c r="R619" s="96"/>
      <c r="S619" s="93"/>
    </row>
    <row r="620" spans="1:19">
      <c r="A620" s="33"/>
      <c r="B620" s="11"/>
      <c r="C620" s="27"/>
      <c r="D620" s="37">
        <v>13650</v>
      </c>
      <c r="E620" s="37">
        <f>E619</f>
        <v>13750</v>
      </c>
      <c r="F620" s="37">
        <f>E619+100</f>
        <v>13850</v>
      </c>
      <c r="G620" s="37">
        <v>13850</v>
      </c>
      <c r="H620" s="37"/>
      <c r="I620" s="37">
        <f>I618</f>
        <v>13950</v>
      </c>
      <c r="J620" s="37">
        <v>14050</v>
      </c>
      <c r="K620" s="37"/>
      <c r="L620" s="37"/>
      <c r="M620" s="14">
        <f>6.5*-36</f>
        <v>-234</v>
      </c>
      <c r="N620" s="85" t="s">
        <v>75</v>
      </c>
      <c r="Q620" s="96"/>
      <c r="R620" s="96"/>
      <c r="S620" s="93"/>
    </row>
    <row r="621" spans="1:19">
      <c r="A621" s="33"/>
      <c r="B621" s="11"/>
      <c r="C621" s="27"/>
      <c r="D621" s="37"/>
      <c r="E621" s="37"/>
      <c r="F621" s="37">
        <f>F620</f>
        <v>13850</v>
      </c>
      <c r="G621" s="37">
        <f>G619</f>
        <v>13850</v>
      </c>
      <c r="H621" s="37"/>
      <c r="I621" s="37">
        <f>I618</f>
        <v>13950</v>
      </c>
      <c r="J621" s="37">
        <f>J619</f>
        <v>14050</v>
      </c>
      <c r="K621" s="37"/>
      <c r="L621" s="37"/>
      <c r="M621" s="14">
        <f>5.5*-36</f>
        <v>-198</v>
      </c>
      <c r="N621" s="85" t="s">
        <v>76</v>
      </c>
      <c r="Q621" s="96"/>
      <c r="R621" s="96"/>
      <c r="S621" s="93"/>
    </row>
    <row r="622" spans="1:19">
      <c r="A622" s="33"/>
      <c r="B622" s="11"/>
      <c r="C622" s="27"/>
      <c r="D622" s="37"/>
      <c r="E622" s="37"/>
      <c r="F622" s="37"/>
      <c r="G622" s="37"/>
      <c r="H622" s="37"/>
      <c r="I622" s="37"/>
      <c r="J622" s="37">
        <v>14050</v>
      </c>
      <c r="K622" s="37"/>
      <c r="L622" s="37"/>
      <c r="M622" s="14">
        <f>2.5*-36</f>
        <v>-90</v>
      </c>
      <c r="Q622" s="96"/>
      <c r="R622" s="96"/>
      <c r="S622" s="93"/>
    </row>
    <row r="623" spans="1:19">
      <c r="A623" s="33"/>
      <c r="B623" s="11" t="s">
        <v>69</v>
      </c>
      <c r="C623" s="27"/>
      <c r="D623" s="37"/>
      <c r="E623" s="37"/>
      <c r="F623" s="37"/>
      <c r="G623" s="37"/>
      <c r="H623" s="37"/>
      <c r="I623" s="37"/>
      <c r="J623" s="37">
        <f>J619</f>
        <v>14050</v>
      </c>
      <c r="K623" s="37"/>
      <c r="L623" s="37"/>
      <c r="M623" s="14">
        <f>2.5*-36</f>
        <v>-90</v>
      </c>
      <c r="Q623" s="96"/>
      <c r="R623" s="96"/>
      <c r="S623" s="93"/>
    </row>
    <row r="624" spans="1:19">
      <c r="A624" s="33"/>
      <c r="B624" s="11"/>
      <c r="C624" s="27"/>
      <c r="D624" s="37"/>
      <c r="E624" s="37"/>
      <c r="F624" s="37"/>
      <c r="G624" s="37"/>
      <c r="H624" s="37"/>
      <c r="I624" s="37"/>
      <c r="J624" s="37"/>
      <c r="K624" s="37"/>
      <c r="L624" s="37"/>
      <c r="M624" s="14">
        <f>SUM(M618:M623)</f>
        <v>-1224</v>
      </c>
      <c r="Q624" s="96"/>
      <c r="R624" s="96"/>
      <c r="S624" s="93"/>
    </row>
    <row r="625" spans="1:19">
      <c r="A625" s="33"/>
      <c r="B625" s="11"/>
      <c r="C625" s="27"/>
      <c r="D625" s="37"/>
      <c r="E625" s="37"/>
      <c r="F625" s="37"/>
      <c r="G625" s="37">
        <v>9500</v>
      </c>
      <c r="H625" s="37"/>
      <c r="I625" s="37"/>
      <c r="J625" s="37"/>
      <c r="K625" s="37"/>
      <c r="L625" s="14"/>
      <c r="M625" s="38"/>
      <c r="Q625" s="96"/>
      <c r="R625" s="96"/>
      <c r="S625" s="93"/>
    </row>
    <row r="626" spans="1:19">
      <c r="A626" s="33"/>
      <c r="B626" s="11"/>
      <c r="C626" s="27"/>
      <c r="D626" s="37"/>
      <c r="E626" s="37"/>
      <c r="F626" s="37"/>
      <c r="G626" s="37">
        <v>-9550</v>
      </c>
      <c r="H626" s="37"/>
      <c r="I626" s="37"/>
      <c r="J626" s="37"/>
      <c r="K626" s="37"/>
      <c r="L626" s="14"/>
      <c r="M626" s="38"/>
      <c r="Q626" s="96"/>
      <c r="R626" s="96"/>
      <c r="S626" s="93"/>
    </row>
    <row r="627" spans="1:19">
      <c r="A627" s="33"/>
      <c r="B627" s="11"/>
      <c r="C627" s="27"/>
      <c r="D627" s="37"/>
      <c r="E627" s="37"/>
      <c r="F627" s="37"/>
      <c r="G627" s="37">
        <f>SUM(G625:G626)*12.5</f>
        <v>-625</v>
      </c>
      <c r="H627" s="37"/>
      <c r="I627" s="37"/>
      <c r="J627" s="37"/>
      <c r="K627" s="37"/>
      <c r="L627" s="37"/>
      <c r="M627" s="38" t="s">
        <v>67</v>
      </c>
      <c r="Q627" s="96"/>
      <c r="R627" s="96"/>
      <c r="S627" s="93"/>
    </row>
    <row r="628" spans="1:19">
      <c r="A628" s="33"/>
      <c r="B628" s="11" t="s">
        <v>65</v>
      </c>
      <c r="C628" s="27"/>
      <c r="D628" s="37"/>
      <c r="E628" s="37" t="s">
        <v>66</v>
      </c>
      <c r="F628" s="37"/>
      <c r="G628" s="37"/>
      <c r="H628" s="37"/>
      <c r="I628" s="37">
        <v>9450</v>
      </c>
      <c r="J628" s="37"/>
      <c r="K628" s="37"/>
      <c r="L628" s="14"/>
      <c r="M628" s="38">
        <f>10.5*-36</f>
        <v>-378</v>
      </c>
      <c r="Q628" s="96"/>
      <c r="R628" s="96"/>
      <c r="S628" s="93"/>
    </row>
    <row r="629" spans="1:19">
      <c r="A629" s="33"/>
      <c r="B629" s="11" t="s">
        <v>65</v>
      </c>
      <c r="C629" s="37"/>
      <c r="D629" s="37" t="s">
        <v>66</v>
      </c>
      <c r="E629" s="37">
        <v>9350</v>
      </c>
      <c r="F629" s="37" t="s">
        <v>66</v>
      </c>
      <c r="G629" s="37">
        <v>9400</v>
      </c>
      <c r="H629" s="37"/>
      <c r="I629" s="37">
        <v>9450</v>
      </c>
      <c r="J629" s="37">
        <v>9500</v>
      </c>
      <c r="K629" s="37"/>
      <c r="L629" s="14"/>
      <c r="M629" s="38">
        <f>8.5*-36</f>
        <v>-306</v>
      </c>
      <c r="Q629" s="96"/>
      <c r="R629" s="96"/>
      <c r="S629" s="93"/>
    </row>
    <row r="630" spans="1:19">
      <c r="A630" s="33"/>
      <c r="B630" s="11" t="s">
        <v>65</v>
      </c>
      <c r="C630" s="27"/>
      <c r="D630" s="37">
        <v>9300</v>
      </c>
      <c r="E630" s="37">
        <v>9350</v>
      </c>
      <c r="F630" s="37">
        <v>9350</v>
      </c>
      <c r="G630" s="37">
        <v>9400</v>
      </c>
      <c r="H630" s="37"/>
      <c r="I630" s="37">
        <v>9450</v>
      </c>
      <c r="J630" s="37">
        <v>9500</v>
      </c>
      <c r="K630" s="37"/>
      <c r="L630" s="14"/>
      <c r="M630" s="38">
        <f>6.5*-36</f>
        <v>-234</v>
      </c>
      <c r="Q630" s="96"/>
      <c r="R630" s="93"/>
      <c r="S630" s="93"/>
    </row>
    <row r="631" spans="1:19">
      <c r="A631" s="33"/>
      <c r="B631" s="11" t="s">
        <v>65</v>
      </c>
      <c r="C631" s="27"/>
      <c r="D631" s="37"/>
      <c r="E631" s="37"/>
      <c r="F631" s="37">
        <v>9350</v>
      </c>
      <c r="G631" s="37">
        <f>G629</f>
        <v>9400</v>
      </c>
      <c r="H631" s="37"/>
      <c r="I631" s="37">
        <v>9450</v>
      </c>
      <c r="J631" s="37">
        <v>9500</v>
      </c>
      <c r="K631" s="37"/>
      <c r="L631" s="14"/>
      <c r="M631" s="38">
        <f>4.5*-36</f>
        <v>-162</v>
      </c>
      <c r="Q631" s="96"/>
      <c r="R631" s="93"/>
      <c r="S631" s="93"/>
    </row>
    <row r="632" spans="1:19">
      <c r="A632" s="33"/>
      <c r="B632" s="11" t="s">
        <v>65</v>
      </c>
      <c r="C632" s="27"/>
      <c r="D632" s="37"/>
      <c r="E632" s="37"/>
      <c r="F632" s="37"/>
      <c r="G632" s="37"/>
      <c r="H632" s="37"/>
      <c r="I632" s="37"/>
      <c r="J632" s="37">
        <v>9500</v>
      </c>
      <c r="K632" s="37"/>
      <c r="L632" s="14"/>
      <c r="M632" s="38">
        <f>2.5*-36</f>
        <v>-90</v>
      </c>
      <c r="Q632" s="96"/>
      <c r="R632" s="93"/>
      <c r="S632" s="93"/>
    </row>
    <row r="633" spans="1:19">
      <c r="A633" s="33"/>
      <c r="B633" s="11"/>
      <c r="C633" s="27"/>
      <c r="D633" s="37"/>
      <c r="E633" s="37"/>
      <c r="F633" s="37"/>
      <c r="G633" s="37">
        <v>7650</v>
      </c>
      <c r="H633" s="37"/>
      <c r="I633" s="37"/>
      <c r="J633" s="37">
        <v>9500</v>
      </c>
      <c r="K633" s="37"/>
      <c r="L633" s="14"/>
      <c r="M633" s="38">
        <f>SUM(M628:M632)</f>
        <v>-1170</v>
      </c>
      <c r="Q633" s="96"/>
      <c r="R633" s="93"/>
      <c r="S633" s="93"/>
    </row>
    <row r="634" spans="1:19">
      <c r="A634" s="33"/>
      <c r="B634" s="11"/>
      <c r="C634" s="27"/>
      <c r="D634" s="37"/>
      <c r="E634" s="37"/>
      <c r="F634" s="37"/>
      <c r="G634" s="37">
        <v>-7677</v>
      </c>
      <c r="H634" s="37"/>
      <c r="I634" s="37"/>
      <c r="J634" s="37"/>
      <c r="K634" s="37"/>
      <c r="L634" s="14"/>
      <c r="M634" s="38"/>
      <c r="Q634" s="96"/>
      <c r="R634" s="93"/>
      <c r="S634" s="93"/>
    </row>
    <row r="635" spans="1:19">
      <c r="A635" s="33"/>
      <c r="B635" s="11"/>
      <c r="C635" s="27"/>
      <c r="D635" s="37"/>
      <c r="E635" s="37"/>
      <c r="F635" s="37"/>
      <c r="G635" s="37">
        <f>SUM(G633:G634)*10</f>
        <v>-270</v>
      </c>
      <c r="H635" s="37"/>
      <c r="I635" s="37"/>
      <c r="J635" s="37"/>
      <c r="K635" s="37"/>
      <c r="L635" s="14"/>
      <c r="M635" s="38" t="s">
        <v>67</v>
      </c>
      <c r="Q635" s="96"/>
      <c r="R635" s="93"/>
      <c r="S635" s="93"/>
    </row>
    <row r="636" spans="1:19">
      <c r="A636" s="33"/>
      <c r="B636" s="11" t="s">
        <v>58</v>
      </c>
      <c r="C636" s="27"/>
      <c r="D636" s="37"/>
      <c r="E636" s="37"/>
      <c r="F636" s="37"/>
      <c r="G636" s="37"/>
      <c r="H636" s="37"/>
      <c r="I636" s="37"/>
      <c r="J636" s="37"/>
      <c r="K636" s="37"/>
      <c r="L636" s="14"/>
      <c r="M636" s="6">
        <f>6.5*-36</f>
        <v>-234</v>
      </c>
      <c r="Q636" s="96"/>
      <c r="R636" s="93"/>
      <c r="S636" s="93"/>
    </row>
    <row r="637" spans="1:19">
      <c r="A637" s="33"/>
      <c r="B637" s="11"/>
      <c r="C637" s="27"/>
      <c r="D637" s="37" t="s">
        <v>70</v>
      </c>
      <c r="E637" s="37">
        <v>7750</v>
      </c>
      <c r="F637" s="37"/>
      <c r="G637" s="37">
        <v>7700</v>
      </c>
      <c r="H637" s="37"/>
      <c r="I637" s="37"/>
      <c r="J637" s="37"/>
      <c r="K637" s="37"/>
      <c r="L637" s="14"/>
      <c r="M637" s="6">
        <f>4.5*-36</f>
        <v>-162</v>
      </c>
      <c r="Q637" s="96"/>
      <c r="R637" s="93"/>
      <c r="S637" s="93"/>
    </row>
    <row r="638" spans="1:19">
      <c r="A638" s="33"/>
      <c r="B638" s="11"/>
      <c r="C638" s="27"/>
      <c r="D638" s="37">
        <v>7800</v>
      </c>
      <c r="E638" s="37">
        <v>7750</v>
      </c>
      <c r="F638" s="37">
        <v>7750</v>
      </c>
      <c r="G638" s="37">
        <v>7700</v>
      </c>
      <c r="H638" s="37"/>
      <c r="I638" s="37"/>
      <c r="J638" s="37"/>
      <c r="K638" s="37"/>
      <c r="L638" s="14"/>
      <c r="M638" s="6">
        <f>2.5*-36</f>
        <v>-90</v>
      </c>
      <c r="Q638" s="96"/>
      <c r="R638" s="93"/>
      <c r="S638" s="93"/>
    </row>
    <row r="639" spans="1:19">
      <c r="A639" s="33"/>
      <c r="B639" s="11"/>
      <c r="C639" s="27"/>
      <c r="D639" s="37"/>
      <c r="E639" s="37"/>
      <c r="F639" s="37">
        <v>7750</v>
      </c>
      <c r="G639" s="37">
        <v>7700</v>
      </c>
      <c r="H639" s="37"/>
      <c r="I639" s="37"/>
      <c r="J639" s="37"/>
      <c r="K639" s="37"/>
      <c r="L639" s="14"/>
      <c r="M639" s="38">
        <f>SUM(M636:M638)</f>
        <v>-486</v>
      </c>
      <c r="Q639" s="96"/>
      <c r="R639" s="93"/>
      <c r="S639" s="93"/>
    </row>
    <row r="640" spans="1:19">
      <c r="A640" s="33"/>
      <c r="B640" s="11"/>
      <c r="C640" s="27"/>
      <c r="D640" s="37"/>
      <c r="E640" s="37"/>
      <c r="F640" s="37"/>
      <c r="G640" s="37"/>
      <c r="H640" s="37"/>
      <c r="I640" s="37"/>
      <c r="J640" s="37"/>
      <c r="K640" s="37"/>
      <c r="L640" s="14"/>
      <c r="M640" s="38"/>
      <c r="Q640" s="96"/>
      <c r="R640" s="93"/>
      <c r="S640" s="93"/>
    </row>
    <row r="641" spans="1:19">
      <c r="A641" s="33"/>
      <c r="B641" s="11" t="s">
        <v>60</v>
      </c>
      <c r="C641" s="27"/>
      <c r="D641" s="37"/>
      <c r="E641" s="37"/>
      <c r="F641" s="37"/>
      <c r="G641" s="37"/>
      <c r="H641" s="37"/>
      <c r="I641" s="37">
        <v>7700</v>
      </c>
      <c r="J641" s="37"/>
      <c r="K641" s="14"/>
      <c r="L641" s="38"/>
      <c r="M641" s="16">
        <f>8.5*-36</f>
        <v>-306</v>
      </c>
      <c r="Q641" s="96"/>
      <c r="R641" s="93"/>
      <c r="S641" s="93"/>
    </row>
    <row r="642" spans="1:19">
      <c r="A642" s="33"/>
      <c r="B642" s="11"/>
      <c r="C642" s="27"/>
      <c r="D642" s="37" t="s">
        <v>70</v>
      </c>
      <c r="E642" s="37">
        <v>7700</v>
      </c>
      <c r="F642" s="37"/>
      <c r="G642" s="37">
        <v>7750</v>
      </c>
      <c r="H642" s="37"/>
      <c r="I642" s="37">
        <v>7700</v>
      </c>
      <c r="J642" s="14"/>
      <c r="K642" s="14"/>
      <c r="L642" s="38"/>
      <c r="M642" s="16">
        <f>8.5*-36</f>
        <v>-306</v>
      </c>
      <c r="Q642" s="96"/>
      <c r="R642" s="93"/>
      <c r="S642" s="93"/>
    </row>
    <row r="643" spans="1:19">
      <c r="A643" s="33"/>
      <c r="B643" s="11"/>
      <c r="C643" s="27"/>
      <c r="D643" s="37">
        <v>7800</v>
      </c>
      <c r="E643" s="37">
        <v>7800</v>
      </c>
      <c r="F643" s="37">
        <v>7700</v>
      </c>
      <c r="G643" s="37">
        <v>7750</v>
      </c>
      <c r="H643" s="37"/>
      <c r="I643" s="37">
        <v>7700</v>
      </c>
      <c r="J643" s="14"/>
      <c r="K643" s="14"/>
      <c r="L643" s="38"/>
      <c r="M643" s="16">
        <f>8.5*-36</f>
        <v>-306</v>
      </c>
      <c r="Q643" s="96"/>
      <c r="R643" s="93"/>
      <c r="S643" s="93"/>
    </row>
    <row r="644" spans="1:19">
      <c r="A644" s="33"/>
      <c r="B644" s="11"/>
      <c r="C644" s="27"/>
      <c r="D644" s="37">
        <v>7850</v>
      </c>
      <c r="E644" s="37">
        <v>7800</v>
      </c>
      <c r="F644" s="37">
        <v>7800</v>
      </c>
      <c r="G644" s="37">
        <v>7750</v>
      </c>
      <c r="H644" s="37"/>
      <c r="I644" s="37">
        <v>7700</v>
      </c>
      <c r="J644" s="14"/>
      <c r="K644" s="14"/>
      <c r="L644" s="38"/>
      <c r="M644" s="16">
        <f>6.5*-36</f>
        <v>-234</v>
      </c>
      <c r="Q644" s="96"/>
      <c r="R644" s="93"/>
      <c r="S644" s="93"/>
    </row>
    <row r="645" spans="1:19">
      <c r="A645" s="33"/>
      <c r="B645" s="11"/>
      <c r="C645" s="27"/>
      <c r="D645" s="37">
        <v>7850</v>
      </c>
      <c r="E645" s="37">
        <v>7800</v>
      </c>
      <c r="F645" s="37">
        <v>7800</v>
      </c>
      <c r="G645" s="37">
        <v>7750</v>
      </c>
      <c r="H645" s="37"/>
      <c r="I645" s="37">
        <v>7700</v>
      </c>
      <c r="J645" s="14"/>
      <c r="K645" s="14"/>
      <c r="L645" s="38"/>
      <c r="M645" s="16">
        <f>4.5*-36</f>
        <v>-162</v>
      </c>
      <c r="Q645" s="96"/>
      <c r="R645" s="93"/>
      <c r="S645" s="93"/>
    </row>
    <row r="646" spans="1:19">
      <c r="A646" s="33"/>
      <c r="B646" s="11"/>
      <c r="C646" s="27"/>
      <c r="D646" s="37"/>
      <c r="E646" s="37"/>
      <c r="F646" s="37">
        <v>7800</v>
      </c>
      <c r="G646" s="37">
        <v>7750</v>
      </c>
      <c r="H646" s="37"/>
      <c r="I646" s="37"/>
      <c r="J646" s="14"/>
      <c r="K646" s="14"/>
      <c r="L646" s="38"/>
      <c r="M646" s="16">
        <f>SUM(M641:M645)</f>
        <v>-1314</v>
      </c>
      <c r="Q646" s="96"/>
      <c r="R646" s="93"/>
      <c r="S646" s="93"/>
    </row>
    <row r="647" spans="1:19">
      <c r="A647" s="33"/>
      <c r="B647" s="11"/>
      <c r="C647" s="27"/>
      <c r="D647" s="37"/>
      <c r="E647" s="37"/>
      <c r="F647" s="37"/>
      <c r="G647" s="37"/>
      <c r="H647" s="37"/>
      <c r="I647" s="37"/>
      <c r="J647" s="14"/>
      <c r="K647" s="14"/>
      <c r="L647" s="38"/>
      <c r="M647" s="16"/>
      <c r="Q647" s="96"/>
      <c r="R647" s="93"/>
      <c r="S647" s="93"/>
    </row>
    <row r="648" spans="1:19">
      <c r="A648" s="33"/>
      <c r="B648" s="11"/>
      <c r="C648" s="27"/>
      <c r="D648" s="37"/>
      <c r="E648" s="37">
        <v>7750</v>
      </c>
      <c r="F648" s="37"/>
      <c r="G648" s="37"/>
      <c r="H648" s="37"/>
      <c r="I648" s="37"/>
      <c r="J648" s="14"/>
      <c r="K648" s="14"/>
      <c r="L648" s="38"/>
      <c r="M648" s="16"/>
      <c r="Q648" s="96"/>
      <c r="R648" s="93"/>
      <c r="S648" s="93"/>
    </row>
    <row r="649" spans="1:19">
      <c r="A649" s="33"/>
      <c r="B649" s="11"/>
      <c r="C649" s="27"/>
      <c r="D649" s="37"/>
      <c r="E649" s="37">
        <v>-7700</v>
      </c>
      <c r="F649" s="37">
        <v>7750</v>
      </c>
      <c r="G649" s="37"/>
      <c r="H649" s="37"/>
      <c r="I649" s="37"/>
      <c r="J649" s="14"/>
      <c r="K649" s="14"/>
      <c r="L649" s="38"/>
      <c r="M649" s="16"/>
      <c r="Q649" s="93"/>
      <c r="R649" s="93"/>
      <c r="S649" s="93"/>
    </row>
    <row r="650" spans="1:19">
      <c r="A650" s="33"/>
      <c r="B650" s="11"/>
      <c r="C650" s="27"/>
      <c r="D650" s="37"/>
      <c r="E650" s="37">
        <f>SUM(E648:E649)*10</f>
        <v>500</v>
      </c>
      <c r="F650" s="37">
        <v>-7700</v>
      </c>
      <c r="G650" s="37"/>
      <c r="H650" s="37"/>
      <c r="I650" s="37"/>
      <c r="J650" s="14"/>
      <c r="K650" s="14"/>
      <c r="L650" s="38"/>
      <c r="M650" s="16"/>
      <c r="Q650" s="93"/>
      <c r="R650" s="93"/>
      <c r="S650" s="93"/>
    </row>
    <row r="651" spans="1:19">
      <c r="A651" s="33"/>
      <c r="B651" s="11"/>
      <c r="C651" s="27"/>
      <c r="D651" s="37"/>
      <c r="E651" s="37"/>
      <c r="F651" s="37">
        <f>SUM(F649:F650)*10</f>
        <v>500</v>
      </c>
      <c r="G651" s="37"/>
      <c r="H651" s="37"/>
      <c r="I651" s="37"/>
      <c r="J651" s="14"/>
      <c r="K651" s="14"/>
      <c r="L651" s="38"/>
      <c r="M651" s="16"/>
      <c r="Q651" s="93"/>
      <c r="R651" s="93"/>
      <c r="S651" s="93"/>
    </row>
    <row r="652" spans="1:19">
      <c r="A652" s="33"/>
      <c r="B652" s="37"/>
      <c r="C652" s="27"/>
      <c r="D652" s="37"/>
      <c r="E652" s="37"/>
      <c r="F652" s="37"/>
      <c r="G652" s="37"/>
      <c r="H652" s="37"/>
      <c r="I652" s="37"/>
      <c r="J652" s="14"/>
      <c r="K652" s="14"/>
      <c r="L652" s="38"/>
      <c r="M652" s="16"/>
      <c r="Q652" s="93"/>
      <c r="R652" s="93"/>
      <c r="S652" s="93"/>
    </row>
    <row r="653" spans="1:19">
      <c r="A653" s="33"/>
      <c r="B653" s="37"/>
      <c r="C653" s="27"/>
      <c r="D653" s="37"/>
      <c r="E653" s="37"/>
      <c r="F653" s="37"/>
      <c r="G653" s="37"/>
      <c r="H653" s="37"/>
      <c r="I653" s="37"/>
      <c r="J653" s="14"/>
      <c r="K653" s="14"/>
      <c r="L653" s="38"/>
      <c r="M653" s="16"/>
      <c r="Q653" s="93"/>
      <c r="R653" s="93"/>
      <c r="S653" s="93"/>
    </row>
    <row r="654" spans="1:19">
      <c r="A654" s="33"/>
      <c r="B654" s="37" t="s">
        <v>68</v>
      </c>
      <c r="C654" s="37"/>
      <c r="D654" s="37"/>
      <c r="E654" s="37"/>
      <c r="F654" s="37"/>
      <c r="G654" s="37"/>
      <c r="H654" s="37"/>
      <c r="I654" s="37"/>
      <c r="J654" s="14"/>
      <c r="K654" s="14"/>
      <c r="L654" s="38"/>
      <c r="M654" s="16"/>
      <c r="Q654" s="93"/>
      <c r="R654" s="93"/>
      <c r="S654" s="93"/>
    </row>
    <row r="655" spans="1:19">
      <c r="A655" s="33"/>
      <c r="B655" s="37" t="s">
        <v>73</v>
      </c>
      <c r="C655" s="37"/>
      <c r="D655" s="37" t="s">
        <v>70</v>
      </c>
      <c r="E655" s="37"/>
      <c r="F655" s="37"/>
      <c r="G655" s="37"/>
      <c r="H655" s="37"/>
      <c r="I655" s="37"/>
      <c r="J655" s="14"/>
      <c r="K655" s="14"/>
      <c r="L655" s="38"/>
      <c r="M655" s="16"/>
      <c r="Q655" s="93"/>
      <c r="R655" s="93"/>
      <c r="S655" s="93"/>
    </row>
    <row r="656" spans="1:19">
      <c r="A656" s="33"/>
      <c r="B656" s="41" t="s">
        <v>65</v>
      </c>
      <c r="C656" s="37"/>
      <c r="D656" s="37">
        <v>12200</v>
      </c>
      <c r="E656" s="37"/>
      <c r="F656" s="37"/>
      <c r="G656" s="37"/>
      <c r="H656" s="37"/>
      <c r="I656" s="37"/>
      <c r="J656" s="14"/>
      <c r="K656" s="14"/>
      <c r="L656" s="38"/>
      <c r="M656" s="16"/>
      <c r="Q656" s="93"/>
      <c r="R656" s="93"/>
      <c r="S656" s="93"/>
    </row>
    <row r="657" spans="1:19">
      <c r="A657" s="33"/>
      <c r="B657" s="37" t="s">
        <v>75</v>
      </c>
      <c r="C657" s="37"/>
      <c r="D657" s="37">
        <v>13900</v>
      </c>
      <c r="E657" s="37"/>
      <c r="F657" s="37"/>
      <c r="G657" s="37"/>
      <c r="H657" s="37"/>
      <c r="I657" s="37"/>
      <c r="J657" s="14"/>
      <c r="K657" s="14"/>
      <c r="L657" s="38"/>
      <c r="M657" s="16"/>
      <c r="Q657" s="93"/>
      <c r="R657" s="93"/>
      <c r="S657" s="93"/>
    </row>
    <row r="658" spans="1:19">
      <c r="A658" s="33"/>
      <c r="B658" s="41" t="s">
        <v>76</v>
      </c>
      <c r="C658" s="37"/>
      <c r="D658" s="37">
        <v>9350</v>
      </c>
      <c r="E658" s="37"/>
      <c r="F658" s="37"/>
      <c r="G658" s="37"/>
      <c r="H658" s="37"/>
      <c r="I658" s="37"/>
      <c r="J658" s="14"/>
      <c r="K658" s="14"/>
      <c r="L658" s="38"/>
      <c r="M658" s="16"/>
      <c r="Q658" s="93"/>
      <c r="R658" s="93"/>
      <c r="S658" s="93"/>
    </row>
    <row r="659" spans="1:19">
      <c r="A659" s="33"/>
      <c r="B659" s="37"/>
      <c r="C659" s="37"/>
      <c r="D659" s="37">
        <v>7700</v>
      </c>
      <c r="E659" s="37"/>
      <c r="F659" s="37"/>
      <c r="G659" s="37"/>
      <c r="H659" s="37"/>
      <c r="I659" s="37"/>
      <c r="J659" s="14"/>
      <c r="K659" s="14"/>
      <c r="L659" s="38"/>
      <c r="M659" s="16"/>
      <c r="Q659" s="93"/>
      <c r="R659" s="93"/>
      <c r="S659" s="93"/>
    </row>
    <row r="660" spans="1:19">
      <c r="A660" s="33"/>
      <c r="B660" s="37"/>
      <c r="C660" s="37"/>
      <c r="D660" s="37">
        <v>7800</v>
      </c>
      <c r="E660" s="37"/>
      <c r="F660" s="37"/>
      <c r="G660" s="37"/>
      <c r="H660" s="37"/>
      <c r="I660" s="37"/>
      <c r="J660" s="14"/>
      <c r="K660" s="14"/>
      <c r="L660" s="38"/>
      <c r="M660" s="16"/>
      <c r="Q660" s="93"/>
      <c r="R660" s="93"/>
      <c r="S660" s="93"/>
    </row>
    <row r="661" spans="1:19">
      <c r="A661" s="33"/>
      <c r="B661" s="37"/>
      <c r="C661" s="37"/>
      <c r="D661" s="37"/>
      <c r="E661" s="37"/>
      <c r="F661" s="37"/>
      <c r="G661" s="37"/>
      <c r="H661" s="37"/>
      <c r="I661" s="37"/>
      <c r="J661" s="14"/>
      <c r="K661" s="14"/>
      <c r="L661" s="38"/>
      <c r="M661" s="16"/>
      <c r="Q661" s="93"/>
      <c r="R661" s="93"/>
      <c r="S661" s="93"/>
    </row>
    <row r="662" spans="1:19">
      <c r="A662" s="33"/>
      <c r="B662" s="37"/>
      <c r="C662" s="37"/>
      <c r="D662" s="37"/>
      <c r="E662" s="37"/>
      <c r="F662" s="37"/>
      <c r="G662" s="37"/>
      <c r="H662" s="37"/>
      <c r="I662" s="37"/>
      <c r="J662" s="14"/>
      <c r="K662" s="14"/>
      <c r="L662" s="38"/>
      <c r="M662" s="16"/>
      <c r="Q662" s="93"/>
      <c r="R662" s="93"/>
      <c r="S662" s="93"/>
    </row>
    <row r="663" spans="1:19">
      <c r="A663" s="33"/>
      <c r="B663" s="37"/>
      <c r="C663" s="37"/>
      <c r="D663" s="37">
        <f>62500/2</f>
        <v>31250</v>
      </c>
      <c r="E663" s="37"/>
      <c r="F663" s="37"/>
      <c r="G663" s="37"/>
      <c r="H663" s="37"/>
      <c r="I663" s="37"/>
      <c r="J663" s="14"/>
      <c r="K663" s="14"/>
      <c r="L663" s="38"/>
      <c r="M663" s="16"/>
      <c r="Q663" s="93"/>
      <c r="R663" s="93"/>
      <c r="S663" s="93"/>
    </row>
    <row r="664" spans="1:19">
      <c r="A664" s="33"/>
      <c r="B664" s="37"/>
      <c r="C664" s="37"/>
      <c r="D664" s="37"/>
      <c r="E664" s="37"/>
      <c r="F664" s="37"/>
      <c r="G664" s="37"/>
      <c r="H664" s="37"/>
      <c r="I664" s="37"/>
      <c r="J664" s="14"/>
      <c r="K664" s="14"/>
      <c r="L664" s="38"/>
      <c r="M664" s="16"/>
      <c r="Q664" s="93"/>
      <c r="R664" s="93"/>
      <c r="S664" s="93"/>
    </row>
    <row r="665" spans="1:19">
      <c r="A665" s="33"/>
      <c r="B665" s="37"/>
      <c r="C665" s="37"/>
      <c r="D665" s="37"/>
      <c r="E665" s="37"/>
      <c r="F665" s="37"/>
      <c r="G665" s="37"/>
      <c r="H665" s="37"/>
      <c r="I665" s="37"/>
      <c r="J665" s="14"/>
      <c r="K665" s="14"/>
      <c r="L665" s="38"/>
      <c r="M665" s="16"/>
      <c r="Q665" s="93"/>
      <c r="R665" s="93"/>
      <c r="S665" s="93"/>
    </row>
    <row r="666" spans="1:19">
      <c r="A666" s="33"/>
      <c r="B666" s="37"/>
      <c r="C666" s="37"/>
      <c r="D666" s="37"/>
      <c r="E666" s="37"/>
      <c r="F666" s="37"/>
      <c r="G666" s="37"/>
      <c r="H666" s="37"/>
      <c r="I666" s="37"/>
      <c r="J666" s="14"/>
      <c r="K666" s="14"/>
      <c r="L666" s="38"/>
      <c r="M666" s="16"/>
      <c r="Q666" s="93"/>
      <c r="R666" s="93"/>
      <c r="S666" s="93"/>
    </row>
    <row r="667" spans="1:19">
      <c r="A667" s="33"/>
      <c r="B667" s="37"/>
      <c r="C667" s="37"/>
      <c r="D667" s="37"/>
      <c r="E667" s="37"/>
      <c r="F667" s="37"/>
      <c r="G667" s="37"/>
      <c r="H667" s="37"/>
      <c r="I667" s="37"/>
      <c r="J667" s="14"/>
      <c r="K667" s="14"/>
      <c r="L667" s="38"/>
      <c r="M667" s="16"/>
      <c r="Q667" s="93"/>
      <c r="R667" s="93"/>
      <c r="S667" s="93"/>
    </row>
    <row r="668" spans="1:19">
      <c r="A668" s="33"/>
      <c r="B668" s="37"/>
      <c r="C668" s="37"/>
      <c r="D668" s="37"/>
      <c r="E668" s="37"/>
      <c r="F668" s="37"/>
      <c r="G668" s="37"/>
      <c r="H668" s="37"/>
      <c r="I668" s="37"/>
      <c r="J668" s="14"/>
      <c r="K668" s="14"/>
      <c r="L668" s="38"/>
      <c r="M668" s="16"/>
      <c r="Q668" s="93"/>
      <c r="R668" s="93"/>
      <c r="S668" s="93"/>
    </row>
    <row r="669" spans="1:19">
      <c r="A669" s="33"/>
      <c r="B669" s="37"/>
      <c r="C669" s="37"/>
      <c r="D669" s="37"/>
      <c r="E669" s="37"/>
      <c r="F669" s="37"/>
      <c r="G669" s="37"/>
      <c r="H669" s="37"/>
      <c r="I669" s="37"/>
      <c r="J669" s="14"/>
      <c r="K669" s="14"/>
      <c r="L669" s="38"/>
      <c r="M669" s="16"/>
      <c r="Q669" s="93"/>
      <c r="R669" s="93"/>
      <c r="S669" s="93"/>
    </row>
    <row r="670" spans="1:19">
      <c r="A670" s="33"/>
      <c r="B670" s="37"/>
      <c r="C670" s="37"/>
      <c r="D670" s="37"/>
      <c r="E670" s="37"/>
      <c r="F670" s="37"/>
      <c r="G670" s="37"/>
      <c r="H670" s="37"/>
      <c r="I670" s="37"/>
      <c r="J670" s="14"/>
      <c r="K670" s="14"/>
      <c r="L670" s="38"/>
      <c r="M670" s="16"/>
      <c r="Q670" s="93"/>
      <c r="R670" s="93"/>
      <c r="S670" s="93"/>
    </row>
    <row r="671" spans="1:19">
      <c r="A671" s="33"/>
      <c r="B671" s="37"/>
      <c r="C671" s="37"/>
      <c r="D671" s="37"/>
      <c r="E671" s="37"/>
      <c r="F671" s="37"/>
      <c r="G671" s="37"/>
      <c r="H671" s="37"/>
      <c r="I671" s="37"/>
      <c r="J671" s="14"/>
      <c r="K671" s="14"/>
      <c r="L671" s="38"/>
      <c r="M671" s="16"/>
      <c r="Q671" s="93"/>
      <c r="R671" s="93"/>
      <c r="S671" s="93"/>
    </row>
    <row r="672" spans="1:19">
      <c r="A672" s="33"/>
      <c r="B672" s="37"/>
      <c r="C672" s="37"/>
      <c r="D672" s="37"/>
      <c r="E672" s="37"/>
      <c r="F672" s="37"/>
      <c r="G672" s="37"/>
      <c r="H672" s="37"/>
      <c r="I672" s="37"/>
      <c r="J672" s="14"/>
      <c r="K672" s="14"/>
      <c r="L672" s="38"/>
      <c r="M672" s="16"/>
      <c r="Q672" s="93"/>
      <c r="R672" s="93"/>
      <c r="S672" s="93"/>
    </row>
    <row r="673" spans="1:19">
      <c r="A673" s="33"/>
      <c r="B673" s="37"/>
      <c r="C673" s="37"/>
      <c r="D673" s="37"/>
      <c r="E673" s="37"/>
      <c r="F673" s="37"/>
      <c r="G673" s="37"/>
      <c r="H673" s="37"/>
      <c r="I673" s="37"/>
      <c r="J673" s="14"/>
      <c r="K673" s="14"/>
      <c r="L673" s="38"/>
      <c r="M673" s="16"/>
      <c r="Q673" s="93"/>
      <c r="R673" s="93"/>
      <c r="S673" s="93"/>
    </row>
    <row r="674" spans="1:19">
      <c r="A674" s="33"/>
      <c r="B674" s="37"/>
      <c r="C674" s="37"/>
      <c r="D674" s="37"/>
      <c r="E674" s="37"/>
      <c r="F674" s="37"/>
      <c r="G674" s="37"/>
      <c r="H674" s="37"/>
      <c r="I674" s="37"/>
      <c r="J674" s="14"/>
      <c r="K674" s="14"/>
      <c r="L674" s="38"/>
      <c r="M674" s="16"/>
      <c r="Q674" s="93"/>
      <c r="R674" s="93"/>
      <c r="S674" s="93"/>
    </row>
    <row r="675" spans="1:19">
      <c r="A675" s="33"/>
      <c r="B675" s="37"/>
      <c r="C675" s="37"/>
      <c r="D675" s="37"/>
      <c r="E675" s="37"/>
      <c r="F675" s="37"/>
      <c r="G675" s="37"/>
      <c r="H675" s="37"/>
      <c r="I675" s="37"/>
      <c r="J675" s="14"/>
      <c r="K675" s="14"/>
      <c r="L675" s="38"/>
      <c r="M675" s="16"/>
      <c r="Q675" s="93"/>
      <c r="R675" s="93"/>
      <c r="S675" s="93"/>
    </row>
    <row r="676" spans="1:19">
      <c r="A676" s="33"/>
      <c r="B676" s="37"/>
      <c r="C676" s="37"/>
      <c r="D676" s="37"/>
      <c r="E676" s="37"/>
      <c r="F676" s="37"/>
      <c r="G676" s="37"/>
      <c r="H676" s="37"/>
      <c r="I676" s="37"/>
      <c r="J676" s="14"/>
      <c r="K676" s="14"/>
      <c r="L676" s="38"/>
      <c r="M676" s="16"/>
      <c r="Q676" s="93"/>
      <c r="R676" s="93"/>
      <c r="S676" s="93"/>
    </row>
    <row r="677" spans="1:19">
      <c r="A677" s="33"/>
      <c r="B677" s="37"/>
      <c r="C677" s="37"/>
      <c r="D677" s="37"/>
      <c r="E677" s="37"/>
      <c r="F677" s="37"/>
      <c r="G677" s="37"/>
      <c r="H677" s="37"/>
      <c r="I677" s="37"/>
      <c r="J677" s="14"/>
      <c r="K677" s="14"/>
      <c r="L677" s="38"/>
      <c r="M677" s="16"/>
      <c r="Q677" s="93"/>
      <c r="R677" s="93"/>
      <c r="S677" s="93"/>
    </row>
    <row r="678" spans="1:19">
      <c r="A678" s="33"/>
      <c r="B678" s="37"/>
      <c r="C678" s="37"/>
      <c r="D678" s="37"/>
      <c r="E678" s="37"/>
      <c r="F678" s="37"/>
      <c r="G678" s="37"/>
      <c r="H678" s="37"/>
      <c r="I678" s="37"/>
      <c r="J678" s="14"/>
      <c r="K678" s="14"/>
      <c r="L678" s="38"/>
      <c r="M678" s="16"/>
      <c r="Q678" s="93"/>
      <c r="R678" s="93"/>
      <c r="S678" s="93"/>
    </row>
    <row r="679" spans="1:19">
      <c r="A679" s="33"/>
      <c r="B679" s="37"/>
      <c r="C679" s="37"/>
      <c r="D679" s="37"/>
      <c r="E679" s="37"/>
      <c r="F679" s="37"/>
      <c r="G679" s="37"/>
      <c r="H679" s="37"/>
      <c r="I679" s="37"/>
      <c r="J679" s="14"/>
      <c r="K679" s="14"/>
      <c r="L679" s="38"/>
      <c r="M679" s="16"/>
      <c r="Q679" s="93"/>
      <c r="R679" s="93"/>
      <c r="S679" s="93"/>
    </row>
    <row r="680" spans="1:19">
      <c r="A680" s="33"/>
      <c r="B680" s="37"/>
      <c r="C680" s="37"/>
      <c r="D680" s="37"/>
      <c r="E680" s="37"/>
      <c r="F680" s="37"/>
      <c r="G680" s="37"/>
      <c r="H680" s="37"/>
      <c r="I680" s="37"/>
      <c r="J680" s="14"/>
      <c r="K680" s="14"/>
      <c r="L680" s="38"/>
      <c r="M680" s="16"/>
      <c r="Q680" s="93"/>
      <c r="R680" s="93"/>
      <c r="S680" s="93"/>
    </row>
    <row r="681" spans="1:19">
      <c r="A681" s="33"/>
      <c r="B681" s="37"/>
      <c r="C681" s="37"/>
      <c r="D681" s="37"/>
      <c r="E681" s="37"/>
      <c r="F681" s="37"/>
      <c r="G681" s="37"/>
      <c r="H681" s="37"/>
      <c r="I681" s="37"/>
      <c r="J681" s="14"/>
      <c r="K681" s="14"/>
      <c r="L681" s="38"/>
      <c r="M681" s="16"/>
      <c r="Q681" s="93"/>
      <c r="R681" s="93"/>
      <c r="S681" s="93"/>
    </row>
    <row r="682" spans="1:19">
      <c r="A682" s="33"/>
      <c r="B682" s="37"/>
      <c r="C682" s="37"/>
      <c r="D682" s="37"/>
      <c r="E682" s="37"/>
      <c r="F682" s="37"/>
      <c r="G682" s="37"/>
      <c r="H682" s="37"/>
      <c r="I682" s="37"/>
      <c r="J682" s="14"/>
      <c r="K682" s="14"/>
      <c r="L682" s="38"/>
      <c r="M682" s="16"/>
      <c r="Q682" s="93"/>
      <c r="R682" s="93"/>
      <c r="S682" s="93"/>
    </row>
    <row r="683" spans="1:19">
      <c r="A683" s="33"/>
      <c r="B683" s="37"/>
      <c r="C683" s="37"/>
      <c r="D683" s="37"/>
      <c r="E683" s="37"/>
      <c r="F683" s="37"/>
      <c r="G683" s="37"/>
      <c r="H683" s="37"/>
      <c r="I683" s="37"/>
      <c r="J683" s="14"/>
      <c r="K683" s="14"/>
      <c r="L683" s="38"/>
      <c r="M683" s="16"/>
      <c r="Q683" s="93"/>
      <c r="R683" s="93"/>
      <c r="S683" s="93"/>
    </row>
    <row r="684" spans="1:19">
      <c r="A684" s="33"/>
      <c r="B684" s="37"/>
      <c r="C684" s="37"/>
      <c r="D684" s="37"/>
      <c r="E684" s="37"/>
      <c r="F684" s="37"/>
      <c r="G684" s="37"/>
      <c r="H684" s="37"/>
      <c r="I684" s="37"/>
      <c r="J684" s="14"/>
      <c r="K684" s="14"/>
      <c r="L684" s="38"/>
      <c r="M684" s="16"/>
      <c r="Q684" s="93"/>
      <c r="R684" s="93"/>
      <c r="S684" s="93"/>
    </row>
    <row r="685" spans="1:19">
      <c r="A685" s="33"/>
      <c r="B685" s="37"/>
      <c r="C685" s="37"/>
      <c r="D685" s="37"/>
      <c r="E685" s="37"/>
      <c r="F685" s="37"/>
      <c r="G685" s="37"/>
      <c r="H685" s="37"/>
      <c r="I685" s="37"/>
      <c r="J685" s="14"/>
      <c r="K685" s="14"/>
      <c r="L685" s="38"/>
      <c r="M685" s="16"/>
      <c r="Q685" s="93"/>
      <c r="R685" s="93"/>
      <c r="S685" s="93"/>
    </row>
    <row r="686" spans="1:19">
      <c r="A686" s="33"/>
      <c r="B686" s="37"/>
      <c r="C686" s="37"/>
      <c r="D686" s="37"/>
      <c r="E686" s="37"/>
      <c r="F686" s="37"/>
      <c r="G686" s="37"/>
      <c r="H686" s="37"/>
      <c r="I686" s="37"/>
      <c r="J686" s="14"/>
      <c r="K686" s="14"/>
      <c r="L686" s="38"/>
      <c r="M686" s="16"/>
      <c r="Q686" s="93"/>
      <c r="R686" s="93"/>
      <c r="S686" s="93"/>
    </row>
    <row r="687" spans="1:19">
      <c r="A687" s="33"/>
      <c r="B687" s="37"/>
      <c r="C687" s="37"/>
      <c r="D687" s="37"/>
      <c r="E687" s="37"/>
      <c r="F687" s="37"/>
      <c r="G687" s="37"/>
      <c r="H687" s="37"/>
      <c r="I687" s="37"/>
      <c r="J687" s="14"/>
      <c r="K687" s="14"/>
      <c r="L687" s="38"/>
      <c r="M687" s="16"/>
      <c r="Q687" s="93"/>
      <c r="R687" s="93"/>
      <c r="S687" s="93"/>
    </row>
    <row r="688" spans="1:19">
      <c r="A688" s="33"/>
      <c r="B688" s="37"/>
      <c r="C688" s="37"/>
      <c r="D688" s="37"/>
      <c r="E688" s="37"/>
      <c r="F688" s="37"/>
      <c r="G688" s="37"/>
      <c r="H688" s="37"/>
      <c r="I688" s="37"/>
      <c r="J688" s="14"/>
      <c r="K688" s="14"/>
      <c r="L688" s="38"/>
      <c r="M688" s="16"/>
      <c r="Q688" s="93"/>
      <c r="R688" s="93"/>
      <c r="S688" s="93"/>
    </row>
    <row r="689" spans="1:19">
      <c r="A689" s="33"/>
      <c r="B689" s="37"/>
      <c r="C689" s="37"/>
      <c r="D689" s="37"/>
      <c r="E689" s="37"/>
      <c r="F689" s="37"/>
      <c r="G689" s="37"/>
      <c r="H689" s="37"/>
      <c r="I689" s="37"/>
      <c r="J689" s="14"/>
      <c r="K689" s="14"/>
      <c r="L689" s="38"/>
      <c r="M689" s="16"/>
      <c r="Q689" s="93"/>
      <c r="R689" s="93"/>
      <c r="S689" s="93"/>
    </row>
    <row r="690" spans="1:19">
      <c r="A690" s="33"/>
      <c r="B690" s="37"/>
      <c r="C690" s="37"/>
      <c r="D690" s="37"/>
      <c r="E690" s="37"/>
      <c r="F690" s="37"/>
      <c r="G690" s="37"/>
      <c r="H690" s="37"/>
      <c r="I690" s="37"/>
      <c r="J690" s="14"/>
      <c r="K690" s="14"/>
      <c r="L690" s="38"/>
      <c r="M690" s="16"/>
      <c r="Q690" s="93"/>
      <c r="R690" s="93"/>
      <c r="S690" s="93"/>
    </row>
    <row r="691" spans="1:19">
      <c r="A691" s="33"/>
      <c r="B691" s="37"/>
      <c r="C691" s="37"/>
      <c r="D691" s="37"/>
      <c r="E691" s="37"/>
      <c r="F691" s="37"/>
      <c r="G691" s="37"/>
      <c r="H691" s="37"/>
      <c r="I691" s="37"/>
      <c r="J691" s="14"/>
      <c r="K691" s="14"/>
      <c r="L691" s="38"/>
      <c r="M691" s="16"/>
      <c r="Q691" s="93"/>
      <c r="R691" s="93"/>
      <c r="S691" s="93"/>
    </row>
    <row r="692" spans="1:19">
      <c r="A692" s="33"/>
      <c r="B692" s="37"/>
      <c r="C692" s="37"/>
      <c r="D692" s="37"/>
      <c r="E692" s="37"/>
      <c r="F692" s="37"/>
      <c r="G692" s="37"/>
      <c r="H692" s="37"/>
      <c r="I692" s="37"/>
      <c r="J692" s="14"/>
      <c r="K692" s="14"/>
      <c r="L692" s="38"/>
      <c r="M692" s="16"/>
      <c r="Q692" s="93"/>
      <c r="R692" s="93"/>
      <c r="S692" s="93"/>
    </row>
    <row r="693" spans="1:19">
      <c r="A693" s="33"/>
      <c r="B693" s="37"/>
      <c r="C693" s="37"/>
      <c r="D693" s="37"/>
      <c r="E693" s="37"/>
      <c r="F693" s="37"/>
      <c r="G693" s="37"/>
      <c r="H693" s="37"/>
      <c r="I693" s="37"/>
      <c r="J693" s="14"/>
      <c r="K693" s="14"/>
      <c r="L693" s="38"/>
      <c r="M693" s="16"/>
      <c r="Q693" s="93"/>
      <c r="R693" s="93"/>
      <c r="S693" s="93"/>
    </row>
    <row r="694" spans="1:19">
      <c r="A694" s="33"/>
      <c r="B694" s="37"/>
      <c r="C694" s="37"/>
      <c r="D694" s="37"/>
      <c r="E694" s="37"/>
      <c r="F694" s="37"/>
      <c r="G694" s="37"/>
      <c r="H694" s="37"/>
      <c r="I694" s="37"/>
      <c r="J694" s="14"/>
      <c r="K694" s="14"/>
      <c r="L694" s="38"/>
      <c r="M694" s="16"/>
      <c r="Q694" s="93"/>
      <c r="R694" s="93"/>
      <c r="S694" s="93"/>
    </row>
    <row r="695" spans="1:19">
      <c r="A695" s="33"/>
      <c r="B695" s="37"/>
      <c r="C695" s="37"/>
      <c r="D695" s="37"/>
      <c r="E695" s="37"/>
      <c r="F695" s="37"/>
      <c r="G695" s="37"/>
      <c r="H695" s="37"/>
      <c r="I695" s="37"/>
      <c r="J695" s="14"/>
      <c r="K695" s="14"/>
      <c r="L695" s="38"/>
      <c r="M695" s="16"/>
      <c r="Q695" s="93"/>
      <c r="R695" s="93"/>
      <c r="S695" s="93"/>
    </row>
    <row r="696" spans="1:19">
      <c r="A696" s="33"/>
      <c r="B696" s="37"/>
      <c r="C696" s="37"/>
      <c r="D696" s="37"/>
      <c r="E696" s="37"/>
      <c r="F696" s="37"/>
      <c r="G696" s="37"/>
      <c r="H696" s="37"/>
      <c r="I696" s="37"/>
      <c r="J696" s="14"/>
      <c r="K696" s="14"/>
      <c r="L696" s="38"/>
      <c r="M696" s="16"/>
      <c r="Q696" s="93"/>
      <c r="R696" s="93"/>
      <c r="S696" s="93"/>
    </row>
    <row r="697" spans="1:19">
      <c r="A697" s="33"/>
      <c r="B697" s="37"/>
      <c r="C697" s="37"/>
      <c r="D697" s="37"/>
      <c r="E697" s="37"/>
      <c r="F697" s="37"/>
      <c r="G697" s="37"/>
      <c r="H697" s="37"/>
      <c r="I697" s="37"/>
      <c r="J697" s="14"/>
      <c r="K697" s="14"/>
      <c r="L697" s="38"/>
      <c r="M697" s="16"/>
      <c r="Q697" s="93"/>
      <c r="R697" s="93"/>
      <c r="S697" s="93"/>
    </row>
    <row r="698" spans="1:19">
      <c r="A698" s="33"/>
      <c r="B698" s="37"/>
      <c r="C698" s="37"/>
      <c r="D698" s="37"/>
      <c r="E698" s="37"/>
      <c r="F698" s="37"/>
      <c r="G698" s="37"/>
      <c r="H698" s="37"/>
      <c r="I698" s="37"/>
      <c r="J698" s="14"/>
      <c r="K698" s="14"/>
      <c r="L698" s="38"/>
      <c r="M698" s="16"/>
      <c r="Q698" s="93"/>
      <c r="R698" s="93"/>
      <c r="S698" s="93"/>
    </row>
    <row r="699" spans="1:19">
      <c r="A699" s="33"/>
      <c r="B699" s="37"/>
      <c r="C699" s="37"/>
      <c r="D699" s="37"/>
      <c r="E699" s="37"/>
      <c r="F699" s="37"/>
      <c r="G699" s="37"/>
      <c r="H699" s="37"/>
      <c r="I699" s="37"/>
      <c r="J699" s="14"/>
      <c r="K699" s="14"/>
      <c r="L699" s="38"/>
      <c r="M699" s="16"/>
      <c r="Q699" s="93"/>
      <c r="R699" s="93"/>
      <c r="S699" s="93"/>
    </row>
    <row r="700" spans="1:19">
      <c r="A700" s="33"/>
      <c r="B700" s="37"/>
      <c r="C700" s="37"/>
      <c r="D700" s="37"/>
      <c r="E700" s="37"/>
      <c r="F700" s="37"/>
      <c r="G700" s="37"/>
      <c r="H700" s="37"/>
      <c r="I700" s="37"/>
      <c r="J700" s="14"/>
      <c r="K700" s="14"/>
      <c r="L700" s="38"/>
      <c r="M700" s="16"/>
      <c r="Q700" s="93"/>
      <c r="R700" s="93"/>
      <c r="S700" s="93"/>
    </row>
    <row r="701" spans="1:19">
      <c r="A701" s="33"/>
      <c r="B701" s="37"/>
      <c r="C701" s="37"/>
      <c r="D701" s="37"/>
      <c r="E701" s="37"/>
      <c r="F701" s="37"/>
      <c r="G701" s="37"/>
      <c r="H701" s="37"/>
      <c r="I701" s="37"/>
      <c r="J701" s="14"/>
      <c r="K701" s="14"/>
      <c r="L701" s="38"/>
      <c r="M701" s="16"/>
      <c r="Q701" s="93"/>
      <c r="R701" s="93"/>
      <c r="S701" s="93"/>
    </row>
    <row r="702" spans="1:19">
      <c r="A702" s="33"/>
      <c r="B702" s="37"/>
      <c r="C702" s="37"/>
      <c r="D702" s="37"/>
      <c r="E702" s="37"/>
      <c r="F702" s="37"/>
      <c r="G702" s="37"/>
      <c r="H702" s="37"/>
      <c r="I702" s="37"/>
      <c r="J702" s="14"/>
      <c r="K702" s="14"/>
      <c r="L702" s="38"/>
      <c r="M702" s="16"/>
      <c r="Q702" s="93"/>
      <c r="R702" s="93"/>
      <c r="S702" s="93"/>
    </row>
    <row r="703" spans="1:19">
      <c r="A703" s="33"/>
      <c r="B703" s="37"/>
      <c r="C703" s="37"/>
      <c r="D703" s="37"/>
      <c r="E703" s="37"/>
      <c r="F703" s="37"/>
      <c r="G703" s="37"/>
      <c r="H703" s="37"/>
      <c r="I703" s="37"/>
      <c r="J703" s="14"/>
      <c r="K703" s="14"/>
      <c r="L703" s="38"/>
      <c r="M703" s="16"/>
      <c r="Q703" s="93"/>
      <c r="R703" s="93"/>
      <c r="S703" s="93"/>
    </row>
    <row r="704" spans="1:19">
      <c r="A704" s="33"/>
      <c r="B704" s="37"/>
      <c r="C704" s="37"/>
      <c r="D704" s="37"/>
      <c r="E704" s="37"/>
      <c r="F704" s="37"/>
      <c r="G704" s="37"/>
      <c r="H704" s="37"/>
      <c r="I704" s="37"/>
      <c r="J704" s="14"/>
      <c r="K704" s="14"/>
      <c r="L704" s="38"/>
      <c r="M704" s="16"/>
      <c r="Q704" s="93"/>
      <c r="R704" s="93"/>
      <c r="S704" s="93"/>
    </row>
    <row r="705" spans="1:19">
      <c r="A705" s="33"/>
      <c r="B705" s="37"/>
      <c r="C705" s="37"/>
      <c r="D705" s="37"/>
      <c r="E705" s="37"/>
      <c r="F705" s="37"/>
      <c r="G705" s="37"/>
      <c r="H705" s="37"/>
      <c r="I705" s="37"/>
      <c r="J705" s="14"/>
      <c r="K705" s="14"/>
      <c r="L705" s="38"/>
      <c r="M705" s="16"/>
      <c r="Q705" s="93"/>
      <c r="R705" s="93"/>
      <c r="S705" s="93"/>
    </row>
    <row r="706" spans="1:19">
      <c r="A706" s="33"/>
      <c r="B706" s="37"/>
      <c r="C706" s="37"/>
      <c r="D706" s="37"/>
      <c r="E706" s="37"/>
      <c r="F706" s="37"/>
      <c r="G706" s="37"/>
      <c r="H706" s="37"/>
      <c r="I706" s="37"/>
      <c r="J706" s="14"/>
      <c r="K706" s="14"/>
      <c r="L706" s="38"/>
      <c r="M706" s="16"/>
      <c r="Q706" s="93"/>
      <c r="R706" s="93"/>
      <c r="S706" s="93"/>
    </row>
    <row r="707" spans="1:19">
      <c r="A707" s="33"/>
      <c r="B707" s="37"/>
      <c r="C707" s="37"/>
      <c r="D707" s="37"/>
      <c r="E707" s="37"/>
      <c r="F707" s="37"/>
      <c r="G707" s="37"/>
      <c r="H707" s="37"/>
      <c r="I707" s="37"/>
      <c r="J707" s="14"/>
      <c r="K707" s="14"/>
      <c r="L707" s="38"/>
      <c r="M707" s="16"/>
      <c r="Q707" s="93"/>
      <c r="R707" s="93"/>
      <c r="S707" s="93"/>
    </row>
    <row r="708" spans="1:19">
      <c r="A708" s="33"/>
      <c r="B708" s="37"/>
      <c r="C708" s="37"/>
      <c r="D708" s="37"/>
      <c r="E708" s="37"/>
      <c r="F708" s="37"/>
      <c r="G708" s="37"/>
      <c r="H708" s="37"/>
      <c r="I708" s="37"/>
      <c r="J708" s="14"/>
      <c r="K708" s="14"/>
      <c r="L708" s="38"/>
      <c r="M708" s="16"/>
      <c r="Q708" s="93"/>
      <c r="R708" s="93"/>
      <c r="S708" s="93"/>
    </row>
    <row r="709" spans="1:19">
      <c r="A709" s="33"/>
      <c r="B709" s="37"/>
      <c r="C709" s="37"/>
      <c r="D709" s="37"/>
      <c r="E709" s="37"/>
      <c r="F709" s="37"/>
      <c r="G709" s="37"/>
      <c r="H709" s="37"/>
      <c r="I709" s="37"/>
      <c r="J709" s="14"/>
      <c r="K709" s="14"/>
      <c r="L709" s="38"/>
      <c r="M709" s="16"/>
      <c r="Q709" s="93"/>
      <c r="R709" s="93"/>
      <c r="S709" s="93"/>
    </row>
    <row r="710" spans="1:19">
      <c r="A710" s="33"/>
      <c r="B710" s="37"/>
      <c r="C710" s="37"/>
      <c r="D710" s="37"/>
      <c r="E710" s="37"/>
      <c r="F710" s="37"/>
      <c r="G710" s="37"/>
      <c r="H710" s="37"/>
      <c r="I710" s="37"/>
      <c r="J710" s="14"/>
      <c r="K710" s="14"/>
      <c r="L710" s="38"/>
      <c r="M710" s="16"/>
      <c r="Q710" s="93"/>
      <c r="R710" s="93"/>
      <c r="S710" s="93"/>
    </row>
    <row r="711" spans="1:19">
      <c r="A711" s="33"/>
      <c r="B711" s="37"/>
      <c r="C711" s="37"/>
      <c r="D711" s="37"/>
      <c r="E711" s="37"/>
      <c r="F711" s="37"/>
      <c r="G711" s="37"/>
      <c r="H711" s="37"/>
      <c r="I711" s="37"/>
      <c r="J711" s="14"/>
      <c r="K711" s="14"/>
      <c r="L711" s="38"/>
      <c r="M711" s="16"/>
      <c r="Q711" s="93"/>
      <c r="R711" s="93"/>
      <c r="S711" s="93"/>
    </row>
    <row r="712" spans="1:19">
      <c r="A712" s="33"/>
      <c r="B712" s="37"/>
      <c r="C712" s="37"/>
      <c r="D712" s="37"/>
      <c r="E712" s="37"/>
      <c r="F712" s="37"/>
      <c r="G712" s="37"/>
      <c r="H712" s="37"/>
      <c r="I712" s="37"/>
      <c r="J712" s="14"/>
      <c r="K712" s="14"/>
      <c r="L712" s="38"/>
      <c r="M712" s="16"/>
      <c r="Q712" s="93"/>
      <c r="R712" s="93"/>
      <c r="S712" s="93"/>
    </row>
    <row r="713" spans="1:19">
      <c r="A713" s="33"/>
      <c r="B713" s="37"/>
      <c r="C713" s="37"/>
      <c r="D713" s="37"/>
      <c r="E713" s="37"/>
      <c r="F713" s="37"/>
      <c r="G713" s="37"/>
      <c r="H713" s="37"/>
      <c r="I713" s="37"/>
      <c r="J713" s="14"/>
      <c r="K713" s="14"/>
      <c r="L713" s="38"/>
      <c r="M713" s="16"/>
      <c r="Q713" s="93"/>
      <c r="R713" s="93"/>
      <c r="S713" s="93"/>
    </row>
    <row r="714" spans="1:19">
      <c r="A714" s="33"/>
      <c r="B714" s="37"/>
      <c r="C714" s="37"/>
      <c r="D714" s="37"/>
      <c r="E714" s="37"/>
      <c r="F714" s="37"/>
      <c r="G714" s="37"/>
      <c r="H714" s="37"/>
      <c r="I714" s="37"/>
      <c r="J714" s="14"/>
      <c r="K714" s="14"/>
      <c r="L714" s="38"/>
      <c r="M714" s="16"/>
      <c r="Q714" s="93"/>
      <c r="R714" s="93"/>
      <c r="S714" s="93"/>
    </row>
    <row r="715" spans="1:19">
      <c r="A715" s="33"/>
      <c r="B715" s="37"/>
      <c r="C715" s="37"/>
      <c r="D715" s="37"/>
      <c r="E715" s="37"/>
      <c r="F715" s="37"/>
      <c r="G715" s="37"/>
      <c r="H715" s="37"/>
      <c r="I715" s="37"/>
      <c r="J715" s="14"/>
      <c r="K715" s="14"/>
      <c r="L715" s="38"/>
      <c r="M715" s="16"/>
      <c r="Q715" s="93"/>
      <c r="R715" s="93"/>
      <c r="S715" s="93"/>
    </row>
    <row r="716" spans="1:19">
      <c r="A716" s="33"/>
      <c r="B716" s="37"/>
      <c r="C716" s="37"/>
      <c r="D716" s="37"/>
      <c r="E716" s="37"/>
      <c r="F716" s="37"/>
      <c r="G716" s="37"/>
      <c r="H716" s="37"/>
      <c r="I716" s="37"/>
      <c r="J716" s="14"/>
      <c r="K716" s="14"/>
      <c r="L716" s="38"/>
      <c r="M716" s="16"/>
      <c r="Q716" s="93"/>
      <c r="R716" s="93"/>
      <c r="S716" s="93"/>
    </row>
    <row r="717" spans="1:19">
      <c r="A717" s="33"/>
      <c r="B717" s="37"/>
      <c r="C717" s="37"/>
      <c r="D717" s="37"/>
      <c r="E717" s="37"/>
      <c r="F717" s="37"/>
      <c r="G717" s="37"/>
      <c r="H717" s="37"/>
      <c r="I717" s="37"/>
      <c r="J717" s="14"/>
      <c r="K717" s="14"/>
      <c r="L717" s="38"/>
      <c r="M717" s="16"/>
      <c r="Q717" s="93"/>
      <c r="R717" s="93"/>
      <c r="S717" s="93"/>
    </row>
    <row r="718" spans="1:19">
      <c r="A718" s="33"/>
      <c r="B718" s="37"/>
      <c r="C718" s="37"/>
      <c r="D718" s="37"/>
      <c r="E718" s="37"/>
      <c r="F718" s="37"/>
      <c r="G718" s="37"/>
      <c r="H718" s="37"/>
      <c r="I718" s="37"/>
      <c r="J718" s="14"/>
      <c r="K718" s="14"/>
      <c r="L718" s="38"/>
      <c r="M718" s="16"/>
      <c r="Q718" s="93"/>
      <c r="R718" s="93"/>
      <c r="S718" s="93"/>
    </row>
    <row r="719" spans="1:19">
      <c r="A719" s="33"/>
      <c r="B719" s="37"/>
      <c r="C719" s="37"/>
      <c r="D719" s="37"/>
      <c r="E719" s="37"/>
      <c r="F719" s="37"/>
      <c r="G719" s="37"/>
      <c r="H719" s="37"/>
      <c r="I719" s="37"/>
      <c r="J719" s="14"/>
      <c r="K719" s="14"/>
      <c r="L719" s="38"/>
      <c r="M719" s="16"/>
      <c r="Q719" s="93"/>
      <c r="R719" s="93"/>
      <c r="S719" s="93"/>
    </row>
    <row r="720" spans="1:19">
      <c r="A720" s="33"/>
      <c r="B720" s="37"/>
      <c r="C720" s="37"/>
      <c r="D720" s="37"/>
      <c r="E720" s="37"/>
      <c r="F720" s="37"/>
      <c r="G720" s="37"/>
      <c r="H720" s="37"/>
      <c r="I720" s="37"/>
      <c r="J720" s="14"/>
      <c r="K720" s="14"/>
      <c r="L720" s="38"/>
      <c r="M720" s="16"/>
      <c r="Q720" s="93"/>
      <c r="R720" s="93"/>
      <c r="S720" s="93"/>
    </row>
    <row r="721" spans="1:19">
      <c r="A721" s="33"/>
      <c r="B721" s="37"/>
      <c r="C721" s="37"/>
      <c r="D721" s="37"/>
      <c r="E721" s="37"/>
      <c r="F721" s="37"/>
      <c r="G721" s="37"/>
      <c r="H721" s="37"/>
      <c r="I721" s="37"/>
      <c r="J721" s="14"/>
      <c r="K721" s="14"/>
      <c r="L721" s="38"/>
      <c r="M721" s="16"/>
      <c r="Q721" s="93"/>
      <c r="R721" s="93"/>
      <c r="S721" s="93"/>
    </row>
    <row r="722" spans="1:19">
      <c r="A722" s="33"/>
      <c r="B722" s="37"/>
      <c r="C722" s="37"/>
      <c r="D722" s="37"/>
      <c r="E722" s="37"/>
      <c r="F722" s="37"/>
      <c r="G722" s="37"/>
      <c r="H722" s="37"/>
      <c r="I722" s="37"/>
      <c r="J722" s="14"/>
      <c r="K722" s="14"/>
      <c r="L722" s="38"/>
      <c r="M722" s="16"/>
      <c r="Q722" s="93"/>
      <c r="R722" s="93"/>
      <c r="S722" s="93"/>
    </row>
    <row r="723" spans="1:19">
      <c r="A723" s="33"/>
      <c r="B723" s="37"/>
      <c r="C723" s="37"/>
      <c r="D723" s="37"/>
      <c r="E723" s="37"/>
      <c r="F723" s="37"/>
      <c r="G723" s="37"/>
      <c r="H723" s="37"/>
      <c r="I723" s="37"/>
      <c r="J723" s="14"/>
      <c r="K723" s="14"/>
      <c r="L723" s="38"/>
      <c r="M723" s="16"/>
      <c r="Q723" s="93"/>
      <c r="R723" s="93"/>
      <c r="S723" s="93"/>
    </row>
    <row r="724" spans="1:19">
      <c r="A724" s="33"/>
      <c r="B724" s="37"/>
      <c r="C724" s="37"/>
      <c r="D724" s="37"/>
      <c r="E724" s="37"/>
      <c r="F724" s="37"/>
      <c r="G724" s="37"/>
      <c r="H724" s="37"/>
      <c r="I724" s="37"/>
      <c r="J724" s="14"/>
      <c r="K724" s="14"/>
      <c r="L724" s="38"/>
      <c r="M724" s="16"/>
      <c r="Q724" s="93"/>
      <c r="R724" s="93"/>
      <c r="S724" s="93"/>
    </row>
    <row r="725" spans="1:19">
      <c r="A725" s="33"/>
      <c r="B725" s="37"/>
      <c r="C725" s="37"/>
      <c r="D725" s="37"/>
      <c r="E725" s="37"/>
      <c r="F725" s="37"/>
      <c r="G725" s="37"/>
      <c r="H725" s="37"/>
      <c r="I725" s="37"/>
      <c r="J725" s="14"/>
      <c r="K725" s="14"/>
      <c r="L725" s="38"/>
      <c r="M725" s="16"/>
      <c r="Q725" s="93"/>
      <c r="R725" s="93"/>
      <c r="S725" s="93"/>
    </row>
    <row r="726" spans="1:19">
      <c r="A726" s="33"/>
      <c r="B726" s="37"/>
      <c r="C726" s="37"/>
      <c r="D726" s="37"/>
      <c r="E726" s="37"/>
      <c r="F726" s="37"/>
      <c r="G726" s="37"/>
      <c r="H726" s="37"/>
      <c r="I726" s="37"/>
      <c r="J726" s="14"/>
      <c r="K726" s="14"/>
      <c r="L726" s="38"/>
      <c r="M726" s="16"/>
      <c r="Q726" s="93"/>
      <c r="R726" s="93"/>
      <c r="S726" s="93"/>
    </row>
    <row r="727" spans="1:19">
      <c r="A727" s="33"/>
      <c r="B727" s="37"/>
      <c r="C727" s="37"/>
      <c r="D727" s="37"/>
      <c r="E727" s="37"/>
      <c r="F727" s="37"/>
      <c r="G727" s="37"/>
      <c r="H727" s="37"/>
      <c r="I727" s="37"/>
      <c r="J727" s="14"/>
      <c r="K727" s="14"/>
      <c r="L727" s="38"/>
      <c r="M727" s="16"/>
      <c r="Q727" s="93"/>
      <c r="R727" s="93"/>
      <c r="S727" s="93"/>
    </row>
    <row r="728" spans="1:19">
      <c r="A728" s="33"/>
      <c r="B728" s="37"/>
      <c r="C728" s="37"/>
      <c r="D728" s="37"/>
      <c r="E728" s="37"/>
      <c r="F728" s="37"/>
      <c r="G728" s="37"/>
      <c r="H728" s="37"/>
      <c r="I728" s="37"/>
      <c r="J728" s="14"/>
      <c r="K728" s="14"/>
      <c r="L728" s="38"/>
      <c r="M728" s="16"/>
      <c r="Q728" s="93"/>
      <c r="R728" s="93"/>
      <c r="S728" s="93"/>
    </row>
    <row r="729" spans="1:19">
      <c r="A729" s="33"/>
      <c r="B729" s="37"/>
      <c r="C729" s="37"/>
      <c r="D729" s="37"/>
      <c r="E729" s="37"/>
      <c r="F729" s="37"/>
      <c r="G729" s="37"/>
      <c r="H729" s="37"/>
      <c r="I729" s="37"/>
      <c r="J729" s="14"/>
      <c r="K729" s="14"/>
      <c r="L729" s="38"/>
      <c r="M729" s="16"/>
      <c r="Q729" s="93"/>
      <c r="R729" s="93"/>
      <c r="S729" s="93"/>
    </row>
    <row r="730" spans="1:19">
      <c r="A730" s="33"/>
      <c r="B730" s="37"/>
      <c r="C730" s="37"/>
      <c r="D730" s="37"/>
      <c r="E730" s="37"/>
      <c r="F730" s="37"/>
      <c r="G730" s="37"/>
      <c r="H730" s="37"/>
      <c r="I730" s="37"/>
      <c r="J730" s="14"/>
      <c r="K730" s="14"/>
      <c r="L730" s="38"/>
      <c r="M730" s="16"/>
      <c r="Q730" s="93"/>
      <c r="R730" s="93"/>
      <c r="S730" s="93"/>
    </row>
    <row r="731" spans="1:19">
      <c r="A731" s="33"/>
      <c r="B731" s="37"/>
      <c r="C731" s="37"/>
      <c r="D731" s="37"/>
      <c r="E731" s="37"/>
      <c r="F731" s="37"/>
      <c r="G731" s="37"/>
      <c r="H731" s="37"/>
      <c r="I731" s="37"/>
      <c r="J731" s="14"/>
      <c r="K731" s="14"/>
      <c r="L731" s="38"/>
      <c r="M731" s="16"/>
      <c r="Q731" s="93"/>
      <c r="R731" s="93"/>
      <c r="S731" s="93"/>
    </row>
    <row r="732" spans="1:19">
      <c r="A732" s="33"/>
      <c r="B732" s="37"/>
      <c r="C732" s="37"/>
      <c r="D732" s="37"/>
      <c r="E732" s="37"/>
      <c r="F732" s="37"/>
      <c r="G732" s="37"/>
      <c r="H732" s="37"/>
      <c r="I732" s="37"/>
      <c r="J732" s="14"/>
      <c r="K732" s="14"/>
      <c r="L732" s="38"/>
      <c r="M732" s="16"/>
      <c r="Q732" s="93"/>
      <c r="R732" s="93"/>
      <c r="S732" s="93"/>
    </row>
    <row r="733" spans="1:19">
      <c r="A733" s="33"/>
      <c r="B733" s="37"/>
      <c r="C733" s="37"/>
      <c r="D733" s="37"/>
      <c r="E733" s="37"/>
      <c r="F733" s="37"/>
      <c r="G733" s="37"/>
      <c r="H733" s="37"/>
      <c r="I733" s="37"/>
      <c r="J733" s="14"/>
      <c r="K733" s="14"/>
      <c r="L733" s="38"/>
      <c r="M733" s="16"/>
      <c r="Q733" s="93"/>
      <c r="R733" s="93"/>
      <c r="S733" s="93"/>
    </row>
    <row r="734" spans="1:19">
      <c r="A734" s="33"/>
      <c r="B734" s="37"/>
      <c r="C734" s="37"/>
      <c r="D734" s="37"/>
      <c r="E734" s="37"/>
      <c r="F734" s="37"/>
      <c r="G734" s="37"/>
      <c r="H734" s="37"/>
      <c r="I734" s="37"/>
      <c r="J734" s="14"/>
      <c r="K734" s="14"/>
      <c r="L734" s="38"/>
      <c r="M734" s="16"/>
      <c r="Q734" s="93"/>
      <c r="R734" s="93"/>
      <c r="S734" s="93"/>
    </row>
    <row r="735" spans="1:19">
      <c r="A735" s="33"/>
      <c r="B735" s="37"/>
      <c r="C735" s="37"/>
      <c r="D735" s="37"/>
      <c r="E735" s="37"/>
      <c r="F735" s="37"/>
      <c r="G735" s="37"/>
      <c r="H735" s="37"/>
      <c r="I735" s="37"/>
      <c r="J735" s="14"/>
      <c r="K735" s="14"/>
      <c r="L735" s="38"/>
      <c r="M735" s="16"/>
      <c r="Q735" s="93"/>
      <c r="R735" s="93"/>
      <c r="S735" s="93"/>
    </row>
    <row r="736" spans="1:19">
      <c r="A736" s="33"/>
      <c r="B736" s="37"/>
      <c r="C736" s="37"/>
      <c r="D736" s="37"/>
      <c r="E736" s="37"/>
      <c r="F736" s="37"/>
      <c r="G736" s="37"/>
      <c r="H736" s="37"/>
      <c r="I736" s="37"/>
      <c r="J736" s="14"/>
      <c r="K736" s="14"/>
      <c r="L736" s="38"/>
      <c r="M736" s="16"/>
      <c r="Q736" s="93"/>
      <c r="R736" s="93"/>
      <c r="S736" s="93"/>
    </row>
    <row r="737" spans="1:19">
      <c r="A737" s="33"/>
      <c r="B737" s="37"/>
      <c r="C737" s="37"/>
      <c r="D737" s="37"/>
      <c r="E737" s="37"/>
      <c r="F737" s="37"/>
      <c r="G737" s="37"/>
      <c r="H737" s="37"/>
      <c r="I737" s="37"/>
      <c r="J737" s="14"/>
      <c r="K737" s="14"/>
      <c r="L737" s="38"/>
      <c r="M737" s="16"/>
      <c r="Q737" s="93"/>
      <c r="R737" s="93"/>
      <c r="S737" s="93"/>
    </row>
    <row r="738" spans="1:19">
      <c r="A738" s="33"/>
      <c r="B738" s="37"/>
      <c r="C738" s="37"/>
      <c r="D738" s="37"/>
      <c r="E738" s="37"/>
      <c r="F738" s="37"/>
      <c r="G738" s="37"/>
      <c r="H738" s="37"/>
      <c r="I738" s="37"/>
      <c r="J738" s="14"/>
      <c r="K738" s="14"/>
      <c r="L738" s="38"/>
      <c r="M738" s="16"/>
      <c r="Q738" s="93"/>
      <c r="R738" s="93"/>
      <c r="S738" s="93"/>
    </row>
    <row r="739" spans="1:19">
      <c r="A739" s="33"/>
      <c r="B739" s="37"/>
      <c r="C739" s="37"/>
      <c r="D739" s="37"/>
      <c r="E739" s="37"/>
      <c r="F739" s="37"/>
      <c r="G739" s="37"/>
      <c r="H739" s="37"/>
      <c r="I739" s="37"/>
      <c r="J739" s="14"/>
      <c r="K739" s="14"/>
      <c r="L739" s="38"/>
      <c r="M739" s="16"/>
      <c r="Q739" s="93"/>
      <c r="R739" s="93"/>
      <c r="S739" s="93"/>
    </row>
    <row r="740" spans="1:19">
      <c r="A740" s="33"/>
      <c r="B740" s="37"/>
      <c r="C740" s="37"/>
      <c r="D740" s="37"/>
      <c r="E740" s="37"/>
      <c r="F740" s="37"/>
      <c r="G740" s="37"/>
      <c r="H740" s="37"/>
      <c r="I740" s="37"/>
      <c r="J740" s="14"/>
      <c r="K740" s="14"/>
      <c r="L740" s="38"/>
      <c r="M740" s="16"/>
      <c r="Q740" s="93"/>
      <c r="R740" s="93"/>
      <c r="S740" s="93"/>
    </row>
    <row r="741" spans="1:19">
      <c r="A741" s="33"/>
      <c r="B741" s="37"/>
      <c r="C741" s="37"/>
      <c r="D741" s="37"/>
      <c r="E741" s="37"/>
      <c r="F741" s="37"/>
      <c r="G741" s="37"/>
      <c r="H741" s="37"/>
      <c r="I741" s="37"/>
      <c r="J741" s="14"/>
      <c r="K741" s="14"/>
      <c r="L741" s="38"/>
      <c r="M741" s="16"/>
      <c r="Q741" s="93"/>
      <c r="R741" s="93"/>
      <c r="S741" s="93"/>
    </row>
    <row r="742" spans="1:19">
      <c r="A742" s="33"/>
      <c r="B742" s="37"/>
      <c r="C742" s="37"/>
      <c r="D742" s="37"/>
      <c r="E742" s="37"/>
      <c r="F742" s="37"/>
      <c r="G742" s="37"/>
      <c r="H742" s="37"/>
      <c r="I742" s="37"/>
      <c r="J742" s="14"/>
      <c r="K742" s="14"/>
      <c r="L742" s="38"/>
      <c r="M742" s="16"/>
      <c r="Q742" s="93"/>
      <c r="R742" s="93"/>
      <c r="S742" s="93"/>
    </row>
    <row r="743" spans="1:19">
      <c r="A743" s="33"/>
      <c r="B743" s="37"/>
      <c r="C743" s="37"/>
      <c r="D743" s="37"/>
      <c r="E743" s="37"/>
      <c r="F743" s="37"/>
      <c r="G743" s="37"/>
      <c r="H743" s="37"/>
      <c r="I743" s="37"/>
      <c r="J743" s="14"/>
      <c r="K743" s="14"/>
      <c r="L743" s="38"/>
      <c r="M743" s="16"/>
      <c r="Q743" s="93"/>
      <c r="R743" s="93"/>
      <c r="S743" s="93"/>
    </row>
    <row r="744" spans="1:19">
      <c r="A744" s="33"/>
      <c r="B744" s="37"/>
      <c r="C744" s="37"/>
      <c r="D744" s="37"/>
      <c r="E744" s="37"/>
      <c r="F744" s="37"/>
      <c r="G744" s="37"/>
      <c r="H744" s="37"/>
      <c r="I744" s="37"/>
      <c r="J744" s="14"/>
      <c r="K744" s="14"/>
      <c r="L744" s="38"/>
      <c r="M744" s="16"/>
      <c r="Q744" s="93"/>
      <c r="R744" s="93"/>
      <c r="S744" s="93"/>
    </row>
    <row r="745" spans="1:19">
      <c r="A745" s="33"/>
      <c r="B745" s="37"/>
      <c r="C745" s="37"/>
      <c r="D745" s="37"/>
      <c r="E745" s="37"/>
      <c r="F745" s="37"/>
      <c r="G745" s="37"/>
      <c r="H745" s="37"/>
      <c r="I745" s="37"/>
      <c r="J745" s="14"/>
      <c r="K745" s="14"/>
      <c r="L745" s="38"/>
      <c r="M745" s="16"/>
      <c r="Q745" s="93"/>
      <c r="R745" s="93"/>
      <c r="S745" s="93"/>
    </row>
    <row r="746" spans="1:19">
      <c r="A746" s="33"/>
      <c r="B746" s="37"/>
      <c r="C746" s="37"/>
      <c r="D746" s="37"/>
      <c r="E746" s="37"/>
      <c r="F746" s="37"/>
      <c r="G746" s="37"/>
      <c r="H746" s="37"/>
      <c r="I746" s="37"/>
      <c r="J746" s="14"/>
      <c r="K746" s="14"/>
      <c r="L746" s="38"/>
      <c r="M746" s="16"/>
      <c r="Q746" s="93"/>
      <c r="R746" s="93"/>
      <c r="S746" s="93"/>
    </row>
    <row r="747" spans="1:19">
      <c r="A747" s="33"/>
      <c r="B747" s="37"/>
      <c r="C747" s="37"/>
      <c r="D747" s="37"/>
      <c r="E747" s="37"/>
      <c r="F747" s="37"/>
      <c r="G747" s="37"/>
      <c r="H747" s="37"/>
      <c r="I747" s="37"/>
      <c r="J747" s="14"/>
      <c r="K747" s="14"/>
      <c r="L747" s="38"/>
      <c r="M747" s="16"/>
      <c r="Q747" s="93"/>
      <c r="R747" s="93"/>
      <c r="S747" s="93"/>
    </row>
    <row r="748" spans="1:19">
      <c r="A748" s="33"/>
      <c r="B748" s="37"/>
      <c r="C748" s="37"/>
      <c r="D748" s="37"/>
      <c r="E748" s="37"/>
      <c r="F748" s="37"/>
      <c r="G748" s="37"/>
      <c r="H748" s="37"/>
      <c r="I748" s="37"/>
      <c r="J748" s="14"/>
      <c r="K748" s="14"/>
      <c r="L748" s="38"/>
      <c r="M748" s="16"/>
      <c r="Q748" s="93"/>
      <c r="R748" s="93"/>
      <c r="S748" s="93"/>
    </row>
    <row r="749" spans="1:19">
      <c r="A749" s="33"/>
      <c r="B749" s="37"/>
      <c r="C749" s="37"/>
      <c r="D749" s="37"/>
      <c r="E749" s="37"/>
      <c r="F749" s="37"/>
      <c r="G749" s="37"/>
      <c r="H749" s="37"/>
      <c r="I749" s="37"/>
      <c r="J749" s="14"/>
      <c r="K749" s="14"/>
      <c r="L749" s="38"/>
      <c r="M749" s="16"/>
      <c r="Q749" s="93"/>
      <c r="R749" s="93"/>
      <c r="S749" s="93"/>
    </row>
    <row r="750" spans="1:19">
      <c r="A750" s="33"/>
      <c r="B750" s="37"/>
      <c r="C750" s="37"/>
      <c r="D750" s="37"/>
      <c r="E750" s="37"/>
      <c r="F750" s="37"/>
      <c r="G750" s="37"/>
      <c r="H750" s="37"/>
      <c r="I750" s="37"/>
      <c r="J750" s="14"/>
      <c r="K750" s="14"/>
      <c r="L750" s="38"/>
      <c r="M750" s="16"/>
      <c r="Q750" s="93"/>
      <c r="R750" s="93"/>
      <c r="S750" s="93"/>
    </row>
    <row r="751" spans="1:19">
      <c r="A751" s="33"/>
      <c r="B751" s="37"/>
      <c r="C751" s="37"/>
      <c r="D751" s="37"/>
      <c r="E751" s="37"/>
      <c r="F751" s="37"/>
      <c r="G751" s="37"/>
      <c r="H751" s="37"/>
      <c r="I751" s="37"/>
      <c r="J751" s="14"/>
      <c r="K751" s="14"/>
      <c r="L751" s="38"/>
      <c r="M751" s="16"/>
      <c r="Q751" s="93"/>
      <c r="R751" s="93"/>
      <c r="S751" s="93"/>
    </row>
    <row r="752" spans="1:19">
      <c r="A752" s="33"/>
      <c r="B752" s="37"/>
      <c r="C752" s="37"/>
      <c r="D752" s="37"/>
      <c r="E752" s="37"/>
      <c r="F752" s="37"/>
      <c r="G752" s="37"/>
      <c r="H752" s="37"/>
      <c r="I752" s="37"/>
      <c r="J752" s="14"/>
      <c r="K752" s="14"/>
      <c r="L752" s="38"/>
      <c r="M752" s="16"/>
      <c r="Q752" s="93"/>
      <c r="R752" s="93"/>
      <c r="S752" s="93"/>
    </row>
    <row r="753" spans="1:19">
      <c r="A753" s="33"/>
      <c r="B753" s="37"/>
      <c r="C753" s="37"/>
      <c r="D753" s="37"/>
      <c r="E753" s="37"/>
      <c r="F753" s="37"/>
      <c r="G753" s="37"/>
      <c r="H753" s="37"/>
      <c r="I753" s="37"/>
      <c r="J753" s="14"/>
      <c r="K753" s="14"/>
      <c r="L753" s="38"/>
      <c r="M753" s="16"/>
      <c r="Q753" s="93"/>
      <c r="R753" s="93"/>
      <c r="S753" s="93"/>
    </row>
    <row r="754" spans="1:19">
      <c r="A754" s="33"/>
      <c r="B754" s="37"/>
      <c r="C754" s="37"/>
      <c r="D754" s="37"/>
      <c r="E754" s="37"/>
      <c r="F754" s="37"/>
      <c r="G754" s="37"/>
      <c r="H754" s="37"/>
      <c r="I754" s="37"/>
      <c r="J754" s="14"/>
      <c r="K754" s="14"/>
      <c r="L754" s="38"/>
      <c r="M754" s="16"/>
      <c r="Q754" s="93"/>
      <c r="R754" s="93"/>
      <c r="S754" s="93"/>
    </row>
    <row r="755" spans="1:19">
      <c r="A755" s="33"/>
      <c r="B755" s="37"/>
      <c r="C755" s="37"/>
      <c r="D755" s="37"/>
      <c r="E755" s="37"/>
      <c r="F755" s="37"/>
      <c r="G755" s="37"/>
      <c r="H755" s="37"/>
      <c r="I755" s="37"/>
      <c r="J755" s="14"/>
      <c r="K755" s="14"/>
      <c r="L755" s="38"/>
      <c r="M755" s="16"/>
      <c r="Q755" s="93"/>
      <c r="R755" s="93"/>
      <c r="S755" s="93"/>
    </row>
    <row r="756" spans="1:19">
      <c r="A756" s="33"/>
      <c r="B756" s="37"/>
      <c r="C756" s="37"/>
      <c r="D756" s="37"/>
      <c r="E756" s="37"/>
      <c r="F756" s="37"/>
      <c r="G756" s="37"/>
      <c r="H756" s="37"/>
      <c r="I756" s="37"/>
      <c r="J756" s="14"/>
      <c r="K756" s="14"/>
      <c r="L756" s="38"/>
      <c r="M756" s="16"/>
      <c r="Q756" s="93"/>
      <c r="R756" s="93"/>
      <c r="S756" s="93"/>
    </row>
    <row r="757" spans="1:19">
      <c r="A757" s="33"/>
      <c r="B757" s="37"/>
      <c r="C757" s="37"/>
      <c r="D757" s="37"/>
      <c r="E757" s="37"/>
      <c r="F757" s="37"/>
      <c r="G757" s="37"/>
      <c r="H757" s="37"/>
      <c r="I757" s="37"/>
      <c r="J757" s="14"/>
      <c r="K757" s="14"/>
      <c r="L757" s="38"/>
      <c r="M757" s="16"/>
      <c r="Q757" s="93"/>
      <c r="R757" s="93"/>
      <c r="S757" s="93"/>
    </row>
    <row r="758" spans="1:19">
      <c r="A758" s="33"/>
      <c r="B758" s="37"/>
      <c r="C758" s="37"/>
      <c r="D758" s="37"/>
      <c r="E758" s="37"/>
      <c r="F758" s="37"/>
      <c r="G758" s="37"/>
      <c r="H758" s="37"/>
      <c r="I758" s="37"/>
      <c r="J758" s="14"/>
      <c r="K758" s="14"/>
      <c r="L758" s="38"/>
      <c r="M758" s="16"/>
      <c r="Q758" s="93"/>
      <c r="R758" s="93"/>
      <c r="S758" s="93"/>
    </row>
    <row r="759" spans="1:19">
      <c r="A759" s="33"/>
      <c r="B759" s="37"/>
      <c r="C759" s="37"/>
      <c r="D759" s="37"/>
      <c r="E759" s="37"/>
      <c r="F759" s="37"/>
      <c r="G759" s="37"/>
      <c r="H759" s="37"/>
      <c r="I759" s="37"/>
      <c r="J759" s="14"/>
      <c r="K759" s="14"/>
      <c r="L759" s="38"/>
      <c r="M759" s="16"/>
      <c r="Q759" s="93"/>
      <c r="R759" s="93"/>
      <c r="S759" s="93"/>
    </row>
    <row r="760" spans="1:19">
      <c r="A760" s="33"/>
      <c r="B760" s="37"/>
      <c r="C760" s="37"/>
      <c r="D760" s="37"/>
      <c r="E760" s="37"/>
      <c r="F760" s="37"/>
      <c r="G760" s="37"/>
      <c r="H760" s="37"/>
      <c r="I760" s="37"/>
      <c r="J760" s="14"/>
      <c r="K760" s="14"/>
      <c r="L760" s="38"/>
      <c r="M760" s="16"/>
      <c r="Q760" s="93"/>
      <c r="R760" s="93"/>
      <c r="S760" s="93"/>
    </row>
    <row r="761" spans="1:19">
      <c r="A761" s="33"/>
      <c r="B761" s="37"/>
      <c r="C761" s="37"/>
      <c r="D761" s="37"/>
      <c r="E761" s="37"/>
      <c r="F761" s="37"/>
      <c r="G761" s="37"/>
      <c r="H761" s="37"/>
      <c r="I761" s="37"/>
      <c r="J761" s="14"/>
      <c r="K761" s="14"/>
      <c r="L761" s="38"/>
      <c r="M761" s="16"/>
      <c r="Q761" s="93"/>
      <c r="R761" s="93"/>
      <c r="S761" s="93"/>
    </row>
    <row r="762" spans="1:19">
      <c r="A762" s="33"/>
      <c r="B762" s="37"/>
      <c r="C762" s="37"/>
      <c r="D762" s="37"/>
      <c r="E762" s="37"/>
      <c r="F762" s="37"/>
      <c r="G762" s="37"/>
      <c r="H762" s="37"/>
      <c r="I762" s="37"/>
      <c r="J762" s="14"/>
      <c r="K762" s="14"/>
      <c r="L762" s="38"/>
      <c r="M762" s="16"/>
      <c r="Q762" s="93"/>
      <c r="R762" s="93"/>
      <c r="S762" s="93"/>
    </row>
    <row r="763" spans="1:19">
      <c r="A763" s="33"/>
      <c r="B763" s="37"/>
      <c r="C763" s="37"/>
      <c r="D763" s="37"/>
      <c r="E763" s="37"/>
      <c r="F763" s="37"/>
      <c r="G763" s="37"/>
      <c r="H763" s="37"/>
      <c r="I763" s="37"/>
      <c r="J763" s="14"/>
      <c r="K763" s="14"/>
      <c r="L763" s="38"/>
      <c r="M763" s="16"/>
      <c r="Q763" s="93"/>
      <c r="R763" s="93"/>
      <c r="S763" s="93"/>
    </row>
    <row r="764" spans="1:19">
      <c r="A764" s="33"/>
      <c r="B764" s="37"/>
      <c r="C764" s="37"/>
      <c r="D764" s="37"/>
      <c r="E764" s="37"/>
      <c r="F764" s="37"/>
      <c r="G764" s="37"/>
      <c r="H764" s="37"/>
      <c r="I764" s="37"/>
      <c r="J764" s="14"/>
      <c r="K764" s="14"/>
      <c r="L764" s="38"/>
      <c r="M764" s="16"/>
      <c r="Q764" s="93"/>
      <c r="R764" s="93"/>
      <c r="S764" s="93"/>
    </row>
    <row r="765" spans="1:19">
      <c r="A765" s="33"/>
      <c r="B765" s="37"/>
      <c r="C765" s="37"/>
      <c r="D765" s="37"/>
      <c r="E765" s="37"/>
      <c r="F765" s="37"/>
      <c r="G765" s="37"/>
      <c r="H765" s="37"/>
      <c r="I765" s="37"/>
      <c r="J765" s="14"/>
      <c r="K765" s="14"/>
      <c r="L765" s="38"/>
      <c r="M765" s="16"/>
      <c r="Q765" s="93"/>
      <c r="R765" s="93"/>
      <c r="S765" s="93"/>
    </row>
    <row r="766" spans="1:19">
      <c r="A766" s="33"/>
      <c r="B766" s="37"/>
      <c r="C766" s="37"/>
      <c r="D766" s="37"/>
      <c r="E766" s="37"/>
      <c r="F766" s="37"/>
      <c r="G766" s="37"/>
      <c r="H766" s="37"/>
      <c r="I766" s="37"/>
      <c r="J766" s="14"/>
      <c r="K766" s="14"/>
      <c r="L766" s="38"/>
      <c r="M766" s="16"/>
      <c r="Q766" s="93"/>
      <c r="R766" s="93"/>
      <c r="S766" s="93"/>
    </row>
    <row r="767" spans="1:19">
      <c r="A767" s="33"/>
      <c r="B767" s="37"/>
      <c r="C767" s="37"/>
      <c r="D767" s="37"/>
      <c r="E767" s="37"/>
      <c r="F767" s="37"/>
      <c r="G767" s="37"/>
      <c r="H767" s="37"/>
      <c r="I767" s="37"/>
      <c r="J767" s="14"/>
      <c r="K767" s="14"/>
      <c r="L767" s="38"/>
      <c r="M767" s="16"/>
      <c r="Q767" s="93"/>
      <c r="R767" s="93"/>
      <c r="S767" s="93"/>
    </row>
    <row r="768" spans="1:19">
      <c r="A768" s="33"/>
      <c r="B768" s="37"/>
      <c r="C768" s="37"/>
      <c r="D768" s="37"/>
      <c r="E768" s="37"/>
      <c r="F768" s="37"/>
      <c r="G768" s="37"/>
      <c r="H768" s="37"/>
      <c r="I768" s="37"/>
      <c r="J768" s="14"/>
      <c r="K768" s="14"/>
      <c r="L768" s="38"/>
      <c r="M768" s="16"/>
      <c r="Q768" s="93"/>
      <c r="R768" s="93"/>
      <c r="S768" s="93"/>
    </row>
    <row r="769" spans="1:19">
      <c r="A769" s="33"/>
      <c r="B769" s="37"/>
      <c r="C769" s="37"/>
      <c r="D769" s="37"/>
      <c r="E769" s="37"/>
      <c r="F769" s="37"/>
      <c r="G769" s="37"/>
      <c r="H769" s="37"/>
      <c r="I769" s="37"/>
      <c r="J769" s="14"/>
      <c r="K769" s="14"/>
      <c r="L769" s="38"/>
      <c r="M769" s="16"/>
      <c r="Q769" s="93"/>
      <c r="R769" s="93"/>
      <c r="S769" s="93"/>
    </row>
    <row r="770" spans="1:19">
      <c r="A770" s="33"/>
      <c r="B770" s="37"/>
      <c r="C770" s="37"/>
      <c r="D770" s="37"/>
      <c r="E770" s="37"/>
      <c r="F770" s="37"/>
      <c r="G770" s="37"/>
      <c r="H770" s="37"/>
      <c r="I770" s="37"/>
      <c r="J770" s="14"/>
      <c r="K770" s="14"/>
      <c r="L770" s="38"/>
      <c r="M770" s="16"/>
      <c r="Q770" s="93"/>
      <c r="R770" s="93"/>
      <c r="S770" s="93"/>
    </row>
    <row r="771" spans="1:19">
      <c r="A771" s="33"/>
      <c r="B771" s="37"/>
      <c r="C771" s="37"/>
      <c r="D771" s="37"/>
      <c r="E771" s="37"/>
      <c r="F771" s="37"/>
      <c r="G771" s="37"/>
      <c r="H771" s="37"/>
      <c r="I771" s="37"/>
      <c r="J771" s="14"/>
      <c r="K771" s="14"/>
      <c r="L771" s="38"/>
      <c r="M771" s="16"/>
      <c r="Q771" s="93"/>
      <c r="R771" s="93"/>
    </row>
    <row r="772" spans="1:19">
      <c r="A772" s="33"/>
      <c r="B772" s="37"/>
      <c r="C772" s="37"/>
      <c r="D772" s="37"/>
      <c r="E772" s="37"/>
      <c r="F772" s="37"/>
      <c r="G772" s="37"/>
      <c r="H772" s="37"/>
      <c r="I772" s="37"/>
      <c r="J772" s="14"/>
      <c r="K772" s="14"/>
      <c r="L772" s="38"/>
      <c r="M772" s="16"/>
      <c r="Q772" s="93"/>
      <c r="R772" s="93"/>
    </row>
    <row r="773" spans="1:19">
      <c r="A773" s="33"/>
      <c r="B773" s="37"/>
      <c r="C773" s="37"/>
      <c r="D773" s="37"/>
      <c r="E773" s="37"/>
      <c r="F773" s="37"/>
      <c r="G773" s="37"/>
      <c r="H773" s="37"/>
      <c r="I773" s="37"/>
      <c r="J773" s="14"/>
      <c r="K773" s="14"/>
      <c r="L773" s="38"/>
      <c r="M773" s="16"/>
      <c r="Q773" s="93"/>
      <c r="R773" s="93"/>
    </row>
    <row r="774" spans="1:19">
      <c r="A774" s="33"/>
      <c r="B774" s="37"/>
      <c r="C774" s="37"/>
      <c r="D774" s="37"/>
      <c r="E774" s="37"/>
      <c r="F774" s="37"/>
      <c r="G774" s="37"/>
      <c r="H774" s="37"/>
      <c r="I774" s="37"/>
      <c r="J774" s="14"/>
      <c r="K774" s="14"/>
      <c r="L774" s="38"/>
      <c r="M774" s="16"/>
      <c r="Q774" s="93"/>
      <c r="R774" s="93"/>
    </row>
    <row r="775" spans="1:19">
      <c r="A775" s="33"/>
      <c r="B775" s="37"/>
      <c r="C775" s="37"/>
      <c r="D775" s="37"/>
      <c r="E775" s="37"/>
      <c r="F775" s="37"/>
      <c r="G775" s="37"/>
      <c r="H775" s="37"/>
      <c r="I775" s="37"/>
      <c r="J775" s="14"/>
      <c r="K775" s="14"/>
      <c r="L775" s="38"/>
      <c r="M775" s="16"/>
      <c r="Q775" s="93"/>
      <c r="R775" s="93"/>
    </row>
    <row r="776" spans="1:19">
      <c r="A776" s="33"/>
      <c r="B776" s="37"/>
      <c r="C776" s="37"/>
      <c r="D776" s="37"/>
      <c r="E776" s="37"/>
      <c r="F776" s="37"/>
      <c r="G776" s="37"/>
      <c r="H776" s="37"/>
      <c r="I776" s="37"/>
      <c r="J776" s="14"/>
      <c r="K776" s="14"/>
      <c r="L776" s="38"/>
      <c r="M776" s="16"/>
      <c r="Q776" s="93"/>
      <c r="R776" s="93"/>
    </row>
    <row r="777" spans="1:19">
      <c r="A777" s="33"/>
      <c r="B777" s="37"/>
      <c r="C777" s="37"/>
      <c r="D777" s="37"/>
      <c r="E777" s="37"/>
      <c r="F777" s="37"/>
      <c r="G777" s="37"/>
      <c r="H777" s="37"/>
      <c r="I777" s="37"/>
      <c r="J777" s="14"/>
      <c r="K777" s="14"/>
      <c r="L777" s="38"/>
      <c r="M777" s="16"/>
      <c r="Q777" s="93"/>
      <c r="R777" s="93"/>
    </row>
    <row r="778" spans="1:19">
      <c r="A778" s="33"/>
      <c r="B778" s="37"/>
      <c r="C778" s="37"/>
      <c r="D778" s="37"/>
      <c r="E778" s="37"/>
      <c r="F778" s="37"/>
      <c r="G778" s="37"/>
      <c r="H778" s="37"/>
      <c r="I778" s="37"/>
      <c r="J778" s="14"/>
      <c r="K778" s="14"/>
      <c r="L778" s="38"/>
      <c r="M778" s="16"/>
      <c r="Q778" s="93"/>
      <c r="R778" s="93"/>
    </row>
    <row r="779" spans="1:19">
      <c r="A779" s="33"/>
      <c r="B779" s="37"/>
      <c r="C779" s="37"/>
      <c r="D779" s="37"/>
      <c r="E779" s="37"/>
      <c r="F779" s="37"/>
      <c r="G779" s="37"/>
      <c r="H779" s="37"/>
      <c r="I779" s="37"/>
      <c r="J779" s="14"/>
      <c r="K779" s="14"/>
      <c r="L779" s="38"/>
      <c r="M779" s="16"/>
      <c r="Q779" s="93"/>
      <c r="R779" s="93"/>
    </row>
    <row r="780" spans="1:19">
      <c r="A780" s="33"/>
      <c r="B780" s="37"/>
      <c r="C780" s="37"/>
      <c r="D780" s="37"/>
      <c r="E780" s="37"/>
      <c r="F780" s="37"/>
      <c r="G780" s="37"/>
      <c r="H780" s="37"/>
      <c r="I780" s="37"/>
      <c r="J780" s="14"/>
      <c r="K780" s="14"/>
      <c r="L780" s="38"/>
      <c r="M780" s="16"/>
      <c r="Q780" s="93"/>
      <c r="R780" s="93"/>
    </row>
    <row r="781" spans="1:19">
      <c r="A781" s="33"/>
      <c r="B781" s="37"/>
      <c r="C781" s="37"/>
      <c r="D781" s="37"/>
      <c r="E781" s="37"/>
      <c r="F781" s="37"/>
      <c r="G781" s="37"/>
      <c r="H781" s="37"/>
      <c r="I781" s="37"/>
      <c r="J781" s="14"/>
      <c r="K781" s="14"/>
      <c r="L781" s="38"/>
      <c r="M781" s="16"/>
      <c r="Q781" s="93"/>
      <c r="R781" s="93"/>
    </row>
    <row r="782" spans="1:19">
      <c r="A782" s="33"/>
      <c r="B782" s="37"/>
      <c r="C782" s="37"/>
      <c r="D782" s="37"/>
      <c r="E782" s="37"/>
      <c r="F782" s="37"/>
      <c r="G782" s="37"/>
      <c r="H782" s="37"/>
      <c r="I782" s="37"/>
      <c r="J782" s="14"/>
      <c r="K782" s="14"/>
      <c r="L782" s="38"/>
      <c r="M782" s="16"/>
      <c r="Q782" s="93"/>
      <c r="R782" s="93"/>
    </row>
    <row r="783" spans="1:19">
      <c r="A783" s="33"/>
      <c r="B783" s="37"/>
      <c r="C783" s="37"/>
      <c r="D783" s="37"/>
      <c r="E783" s="37"/>
      <c r="F783" s="37"/>
      <c r="G783" s="37"/>
      <c r="H783" s="37"/>
      <c r="I783" s="37"/>
      <c r="J783" s="14"/>
      <c r="K783" s="14"/>
      <c r="L783" s="38"/>
      <c r="M783" s="16"/>
      <c r="Q783" s="93"/>
      <c r="R783" s="93"/>
    </row>
    <row r="784" spans="1:19">
      <c r="A784" s="33"/>
      <c r="B784" s="37"/>
      <c r="C784" s="37"/>
      <c r="D784" s="37"/>
      <c r="E784" s="37"/>
      <c r="F784" s="37"/>
      <c r="G784" s="37"/>
      <c r="H784" s="37"/>
      <c r="I784" s="37"/>
      <c r="J784" s="14"/>
      <c r="K784" s="14"/>
      <c r="L784" s="38"/>
      <c r="M784" s="16"/>
      <c r="Q784" s="93"/>
      <c r="R784" s="93"/>
    </row>
    <row r="785" spans="1:18">
      <c r="A785" s="33"/>
      <c r="B785" s="37"/>
      <c r="C785" s="37"/>
      <c r="D785" s="37"/>
      <c r="E785" s="37"/>
      <c r="F785" s="37"/>
      <c r="G785" s="37"/>
      <c r="H785" s="37"/>
      <c r="I785" s="37"/>
      <c r="J785" s="14"/>
      <c r="K785" s="14"/>
      <c r="L785" s="38"/>
      <c r="M785" s="16"/>
      <c r="Q785" s="93"/>
      <c r="R785" s="93"/>
    </row>
    <row r="786" spans="1:18">
      <c r="A786" s="33"/>
      <c r="B786" s="37"/>
      <c r="C786" s="37"/>
      <c r="D786" s="37"/>
      <c r="E786" s="37"/>
      <c r="F786" s="37"/>
      <c r="G786" s="37"/>
      <c r="H786" s="37"/>
      <c r="I786" s="37"/>
      <c r="J786" s="14"/>
      <c r="K786" s="14"/>
      <c r="L786" s="38"/>
      <c r="M786" s="16"/>
      <c r="Q786" s="93"/>
      <c r="R786" s="93"/>
    </row>
    <row r="787" spans="1:18">
      <c r="A787" s="33"/>
      <c r="B787" s="37"/>
      <c r="C787" s="37"/>
      <c r="D787" s="37"/>
      <c r="E787" s="37"/>
      <c r="F787" s="37"/>
      <c r="G787" s="37"/>
      <c r="H787" s="37"/>
      <c r="I787" s="37"/>
      <c r="J787" s="14"/>
      <c r="K787" s="14"/>
      <c r="L787" s="38"/>
      <c r="M787" s="16"/>
      <c r="Q787" s="93"/>
      <c r="R787" s="93"/>
    </row>
    <row r="788" spans="1:18">
      <c r="A788" s="33"/>
      <c r="B788" s="37"/>
      <c r="C788" s="37"/>
      <c r="D788" s="37"/>
      <c r="E788" s="37"/>
      <c r="F788" s="37"/>
      <c r="G788" s="37"/>
      <c r="H788" s="37"/>
      <c r="I788" s="37"/>
      <c r="J788" s="14"/>
      <c r="K788" s="14"/>
      <c r="L788" s="38"/>
      <c r="M788" s="16"/>
      <c r="Q788" s="93"/>
      <c r="R788" s="93"/>
    </row>
    <row r="789" spans="1:18">
      <c r="A789" s="33"/>
      <c r="B789" s="37"/>
      <c r="C789" s="37"/>
      <c r="D789" s="37"/>
      <c r="E789" s="37"/>
      <c r="F789" s="37"/>
      <c r="G789" s="37"/>
      <c r="H789" s="37"/>
      <c r="I789" s="37"/>
      <c r="J789" s="14"/>
      <c r="K789" s="14"/>
      <c r="L789" s="38"/>
      <c r="M789" s="16"/>
      <c r="Q789" s="93"/>
      <c r="R789" s="93"/>
    </row>
    <row r="790" spans="1:18">
      <c r="A790" s="33"/>
      <c r="B790" s="37"/>
      <c r="C790" s="37"/>
      <c r="D790" s="37"/>
      <c r="E790" s="37"/>
      <c r="F790" s="37"/>
      <c r="G790" s="37"/>
      <c r="H790" s="37"/>
      <c r="I790" s="37"/>
      <c r="J790" s="14"/>
      <c r="K790" s="14"/>
      <c r="L790" s="38"/>
      <c r="M790" s="16"/>
      <c r="Q790" s="93"/>
      <c r="R790" s="93"/>
    </row>
    <row r="791" spans="1:18">
      <c r="A791" s="33"/>
      <c r="B791" s="37"/>
      <c r="C791" s="37"/>
      <c r="D791" s="37"/>
      <c r="E791" s="37"/>
      <c r="F791" s="37"/>
      <c r="G791" s="37"/>
      <c r="H791" s="37"/>
      <c r="I791" s="37"/>
      <c r="J791" s="14"/>
      <c r="K791" s="14"/>
      <c r="L791" s="38"/>
      <c r="M791" s="16"/>
      <c r="Q791" s="93"/>
      <c r="R791" s="93"/>
    </row>
    <row r="792" spans="1:18">
      <c r="A792" s="33"/>
      <c r="B792" s="37"/>
      <c r="C792" s="37"/>
      <c r="D792" s="37"/>
      <c r="E792" s="37"/>
      <c r="F792" s="37"/>
      <c r="G792" s="37"/>
      <c r="H792" s="37"/>
      <c r="I792" s="37"/>
      <c r="J792" s="14"/>
      <c r="K792" s="14"/>
      <c r="L792" s="38"/>
      <c r="M792" s="16"/>
    </row>
    <row r="793" spans="1:18">
      <c r="A793" s="33"/>
      <c r="B793" s="37"/>
      <c r="C793" s="37"/>
      <c r="D793" s="37"/>
      <c r="E793" s="37"/>
      <c r="F793" s="37"/>
      <c r="G793" s="37"/>
      <c r="H793" s="37"/>
      <c r="I793" s="37"/>
      <c r="J793" s="14"/>
      <c r="K793" s="14"/>
      <c r="L793" s="38"/>
      <c r="M793" s="16"/>
    </row>
    <row r="794" spans="1:18">
      <c r="A794" s="33"/>
      <c r="B794" s="37"/>
      <c r="C794" s="37"/>
      <c r="D794" s="37"/>
      <c r="E794" s="37"/>
      <c r="F794" s="37"/>
      <c r="G794" s="37"/>
      <c r="H794" s="37"/>
      <c r="I794" s="37"/>
      <c r="J794" s="14"/>
      <c r="K794" s="14"/>
      <c r="L794" s="38"/>
      <c r="M794" s="16"/>
    </row>
    <row r="795" spans="1:18">
      <c r="A795" s="33"/>
      <c r="B795" s="37"/>
      <c r="C795" s="37"/>
      <c r="D795" s="37"/>
      <c r="E795" s="37"/>
      <c r="F795" s="37"/>
      <c r="G795" s="37"/>
      <c r="H795" s="37"/>
      <c r="I795" s="37"/>
      <c r="J795" s="14"/>
      <c r="K795" s="14"/>
      <c r="L795" s="38"/>
      <c r="M795" s="16"/>
    </row>
    <row r="796" spans="1:18">
      <c r="A796" s="33"/>
      <c r="B796" s="37"/>
      <c r="C796" s="37"/>
      <c r="D796" s="37"/>
      <c r="E796" s="37"/>
      <c r="F796" s="37"/>
      <c r="G796" s="37"/>
      <c r="H796" s="37"/>
      <c r="I796" s="37"/>
      <c r="J796" s="14"/>
      <c r="K796" s="14"/>
      <c r="L796" s="38"/>
      <c r="M796" s="16"/>
    </row>
    <row r="797" spans="1:18">
      <c r="B797" s="37"/>
      <c r="C797" s="37"/>
      <c r="D797" s="37"/>
      <c r="E797" s="37"/>
      <c r="F797" s="37"/>
      <c r="G797" s="37"/>
      <c r="H797" s="37"/>
      <c r="I797" s="37"/>
      <c r="J797" s="14"/>
      <c r="K797" s="14"/>
      <c r="L797" s="38"/>
      <c r="M797" s="16"/>
    </row>
    <row r="798" spans="1:18">
      <c r="B798" s="37"/>
      <c r="C798" s="37"/>
      <c r="D798" s="37"/>
      <c r="E798" s="37"/>
      <c r="F798" s="37"/>
      <c r="G798" s="37"/>
      <c r="H798" s="37"/>
      <c r="I798" s="37"/>
      <c r="J798" s="14"/>
      <c r="K798" s="14"/>
      <c r="L798" s="38"/>
      <c r="M798" s="16"/>
    </row>
    <row r="799" spans="1:18">
      <c r="B799" s="37"/>
      <c r="C799" s="37"/>
      <c r="D799" s="37"/>
      <c r="E799" s="37"/>
      <c r="F799" s="37"/>
      <c r="G799" s="37"/>
      <c r="H799" s="37"/>
      <c r="I799" s="37"/>
      <c r="J799" s="14"/>
      <c r="K799" s="14"/>
      <c r="L799" s="38"/>
      <c r="M799" s="16"/>
    </row>
    <row r="800" spans="1:18">
      <c r="B800" s="37"/>
      <c r="C800" s="37"/>
      <c r="D800" s="37"/>
      <c r="E800" s="37"/>
      <c r="F800" s="37"/>
      <c r="G800" s="37"/>
      <c r="H800" s="37"/>
      <c r="I800" s="37"/>
      <c r="J800" s="14"/>
      <c r="K800" s="14"/>
      <c r="L800" s="38"/>
      <c r="M800" s="16"/>
    </row>
    <row r="801" spans="2:13">
      <c r="B801" s="37"/>
      <c r="C801" s="37"/>
      <c r="D801" s="37"/>
      <c r="E801" s="37"/>
      <c r="F801" s="37"/>
      <c r="G801" s="37"/>
      <c r="H801" s="37"/>
      <c r="I801" s="37"/>
      <c r="J801" s="14"/>
      <c r="K801" s="14"/>
      <c r="L801" s="38"/>
      <c r="M801" s="16"/>
    </row>
    <row r="802" spans="2:13">
      <c r="B802" s="37"/>
      <c r="C802" s="37"/>
      <c r="D802" s="37"/>
      <c r="E802" s="37"/>
      <c r="F802" s="37"/>
      <c r="G802" s="37"/>
      <c r="H802" s="37"/>
      <c r="I802" s="37"/>
      <c r="J802" s="14"/>
      <c r="K802" s="14"/>
      <c r="L802" s="38"/>
      <c r="M802" s="16"/>
    </row>
    <row r="803" spans="2:13">
      <c r="B803" s="37"/>
      <c r="C803" s="37"/>
      <c r="D803" s="37"/>
      <c r="E803" s="37"/>
      <c r="F803" s="37"/>
      <c r="G803" s="37"/>
      <c r="H803" s="37"/>
      <c r="I803" s="37"/>
      <c r="J803" s="14"/>
      <c r="K803" s="14"/>
      <c r="L803" s="38"/>
      <c r="M803" s="16"/>
    </row>
    <row r="804" spans="2:13">
      <c r="B804" s="37"/>
      <c r="C804" s="37"/>
      <c r="D804" s="37"/>
      <c r="E804" s="37"/>
      <c r="F804" s="37"/>
      <c r="G804" s="37"/>
      <c r="H804" s="37"/>
      <c r="I804" s="37"/>
      <c r="J804" s="14"/>
      <c r="K804" s="14"/>
      <c r="L804" s="38"/>
      <c r="M804" s="16"/>
    </row>
    <row r="805" spans="2:13">
      <c r="B805" s="37"/>
      <c r="C805" s="37"/>
      <c r="D805" s="37"/>
      <c r="E805" s="37"/>
      <c r="F805" s="37"/>
      <c r="G805" s="37"/>
      <c r="H805" s="37"/>
      <c r="I805" s="37"/>
      <c r="J805" s="14"/>
      <c r="K805" s="14"/>
      <c r="L805" s="38"/>
      <c r="M805" s="16"/>
    </row>
    <row r="806" spans="2:13">
      <c r="B806" s="37"/>
      <c r="C806" s="37"/>
      <c r="D806" s="37"/>
      <c r="E806" s="37"/>
      <c r="F806" s="37"/>
      <c r="G806" s="37"/>
      <c r="H806" s="37"/>
      <c r="I806" s="37"/>
      <c r="J806" s="14"/>
      <c r="K806" s="14"/>
      <c r="L806" s="38"/>
      <c r="M806" s="16"/>
    </row>
    <row r="807" spans="2:13">
      <c r="B807" s="37"/>
      <c r="C807" s="37"/>
      <c r="D807" s="37"/>
      <c r="E807" s="37"/>
      <c r="F807" s="37"/>
      <c r="G807" s="37"/>
      <c r="H807" s="37"/>
      <c r="I807" s="37"/>
      <c r="J807" s="14"/>
      <c r="K807" s="14"/>
      <c r="L807" s="38"/>
      <c r="M807" s="16"/>
    </row>
    <row r="808" spans="2:13">
      <c r="B808" s="37"/>
      <c r="C808" s="37"/>
      <c r="D808" s="37"/>
      <c r="E808" s="37"/>
      <c r="F808" s="37"/>
      <c r="G808" s="37"/>
      <c r="H808" s="37"/>
      <c r="I808" s="37"/>
      <c r="J808" s="14"/>
      <c r="K808" s="14"/>
      <c r="L808" s="38"/>
      <c r="M808" s="16"/>
    </row>
    <row r="809" spans="2:13">
      <c r="B809" s="37"/>
      <c r="C809" s="37"/>
      <c r="D809" s="37"/>
      <c r="E809" s="37"/>
      <c r="F809" s="37"/>
      <c r="G809" s="37"/>
      <c r="H809" s="37"/>
      <c r="I809" s="37"/>
      <c r="J809" s="14"/>
      <c r="K809" s="14"/>
      <c r="L809" s="38"/>
      <c r="M809" s="16"/>
    </row>
    <row r="810" spans="2:13">
      <c r="B810" s="37"/>
      <c r="C810" s="37"/>
      <c r="D810" s="37"/>
      <c r="E810" s="37"/>
      <c r="F810" s="37"/>
      <c r="G810" s="37"/>
      <c r="H810" s="37"/>
      <c r="I810" s="37"/>
      <c r="J810" s="14"/>
      <c r="K810" s="14"/>
      <c r="L810" s="38"/>
      <c r="M810" s="16"/>
    </row>
    <row r="811" spans="2:13">
      <c r="B811" s="27"/>
      <c r="C811" s="37"/>
      <c r="D811" s="37"/>
      <c r="E811" s="37"/>
      <c r="F811" s="37"/>
      <c r="G811" s="37"/>
      <c r="H811" s="37"/>
      <c r="I811" s="27"/>
      <c r="J811" s="14"/>
      <c r="K811" s="14"/>
      <c r="L811" s="18"/>
      <c r="M811" s="16"/>
    </row>
    <row r="812" spans="2:13">
      <c r="B812" s="27"/>
      <c r="C812" s="37"/>
      <c r="D812" s="37"/>
      <c r="E812" s="27"/>
      <c r="F812" s="37"/>
      <c r="G812" s="27"/>
      <c r="H812" s="27"/>
      <c r="I812" s="27"/>
      <c r="J812" s="14"/>
      <c r="K812" s="14"/>
      <c r="L812" s="18"/>
      <c r="M812" s="16"/>
    </row>
    <row r="813" spans="2:13">
      <c r="B813" s="27"/>
      <c r="C813" s="27"/>
      <c r="D813" s="27"/>
      <c r="E813" s="27"/>
      <c r="F813" s="27"/>
      <c r="G813" s="27"/>
      <c r="H813" s="27"/>
      <c r="I813" s="27"/>
      <c r="J813" s="14"/>
      <c r="K813" s="14"/>
      <c r="L813" s="18"/>
      <c r="M813" s="16"/>
    </row>
    <row r="814" spans="2:13">
      <c r="B814" s="27"/>
      <c r="C814" s="27"/>
      <c r="D814" s="27"/>
      <c r="E814" s="27"/>
      <c r="F814" s="27"/>
      <c r="G814" s="27"/>
      <c r="H814" s="27"/>
      <c r="I814" s="27"/>
      <c r="J814" s="14"/>
      <c r="K814" s="14"/>
      <c r="L814" s="18"/>
      <c r="M814" s="16"/>
    </row>
    <row r="815" spans="2:13">
      <c r="B815" s="27"/>
      <c r="C815" s="27"/>
      <c r="D815" s="27"/>
      <c r="E815" s="27"/>
      <c r="F815" s="27"/>
      <c r="G815" s="27"/>
      <c r="H815" s="27"/>
      <c r="I815" s="27"/>
      <c r="J815" s="14"/>
      <c r="K815" s="14"/>
      <c r="L815" s="18"/>
      <c r="M815" s="16"/>
    </row>
    <row r="816" spans="2:13">
      <c r="B816" s="27"/>
      <c r="C816" s="27"/>
      <c r="D816" s="27"/>
      <c r="E816" s="27"/>
      <c r="F816" s="27"/>
      <c r="G816" s="27"/>
      <c r="H816" s="27"/>
      <c r="I816" s="27"/>
      <c r="J816" s="14"/>
      <c r="K816" s="14"/>
      <c r="L816" s="18"/>
      <c r="M816" s="16"/>
    </row>
    <row r="817" spans="2:13">
      <c r="B817" s="27"/>
      <c r="C817" s="27"/>
      <c r="D817" s="27"/>
      <c r="E817" s="27"/>
      <c r="F817" s="27"/>
      <c r="G817" s="27"/>
      <c r="H817" s="27"/>
      <c r="I817" s="27"/>
      <c r="J817" s="14"/>
      <c r="K817" s="14"/>
      <c r="L817" s="18"/>
      <c r="M817" s="16"/>
    </row>
    <row r="818" spans="2:13">
      <c r="C818" s="27"/>
      <c r="D818" s="27"/>
      <c r="E818" s="27"/>
      <c r="F818" s="27"/>
      <c r="G818" s="27"/>
      <c r="H818" s="27"/>
      <c r="J818" s="14"/>
    </row>
    <row r="819" spans="2:13">
      <c r="C819" s="27"/>
      <c r="D819" s="27"/>
      <c r="F819" s="27"/>
    </row>
    <row r="962" spans="2:2">
      <c r="B962" s="10"/>
    </row>
  </sheetData>
  <mergeCells count="5">
    <mergeCell ref="D3:D4"/>
    <mergeCell ref="S3:S4"/>
    <mergeCell ref="O3:O4"/>
    <mergeCell ref="Q3:Q4"/>
    <mergeCell ref="R3:R4"/>
  </mergeCells>
  <hyperlinks>
    <hyperlink ref="C197" r:id="rId1" display="https://peterknightadvisor.com/2019/03/02/AUDUSD/" xr:uid="{12B51744-2B25-4982-9607-8400925CE0C0}"/>
    <hyperlink ref="D197" r:id="rId2" xr:uid="{372DBF77-6B7B-480B-A205-728F89D4B852}"/>
    <hyperlink ref="E333" r:id="rId3" display="https://www.barchart.com/forex/quotes/%5EAUDUSD/opinion" xr:uid="{CD30D96C-C4C8-44EC-9F93-42D026CC8A95}"/>
    <hyperlink ref="C198" r:id="rId4" display="https://peterknightadvisor.com/2019/03/02/EURUSD/" xr:uid="{2DA2587C-9DD7-49E7-80EF-3D4167EFBB5F}"/>
    <hyperlink ref="D198" r:id="rId5" xr:uid="{44D0448B-8546-4DE0-B04A-B2B5012A58D7}"/>
    <hyperlink ref="E334" r:id="rId6" display="https://www.barchart.com/forex/quotes/%5EEURUSD/opinion" xr:uid="{CF7BCAB7-28FC-44D3-B633-1367CA69CA12}"/>
    <hyperlink ref="C199" r:id="rId7" display="https://peterknightadvisor.com/2019/03/02/gbpusd/" xr:uid="{D15663B6-E7C2-4D6B-AD6A-82627CBBE010}"/>
    <hyperlink ref="D199" r:id="rId8" xr:uid="{CEF93777-580B-415B-AF70-3736C87B5438}"/>
    <hyperlink ref="E335" r:id="rId9" display="https://www.barchart.com/forex/quotes/%5EGBPUSD/opinion" xr:uid="{26E9026D-ADFA-417D-B9E6-8EC9F2907099}"/>
    <hyperlink ref="C200" r:id="rId10" display="https://peterknightadvisor.com/2019/03/02/USDCAD/" xr:uid="{B4C3BC5F-E823-4AA9-AC8B-3503D46E46F8}"/>
    <hyperlink ref="E336" r:id="rId11" display="https://www.barchart.com/forex/quotes/%5Eusdcad/opinion" xr:uid="{8FAA0154-7A21-470A-9060-BA50E467FB86}"/>
    <hyperlink ref="C201" r:id="rId12" display="https://peterknightadvisor.com/2019/03/02/USDCHF/" xr:uid="{08AC1FBD-8B80-4B7A-809E-D33F43858C39}"/>
    <hyperlink ref="E337" r:id="rId13" display="https://www.barchart.com/forex/quotes/%5EUSDCHF/opinion" xr:uid="{8AC212B9-A7F2-4571-9CDD-F92D33A611E5}"/>
    <hyperlink ref="C202" r:id="rId14" display="https://peterknightadvisor.com/2019/03/02/USDJPY/" xr:uid="{DCAE106A-C949-4901-862D-D4DDC02DC6A0}"/>
    <hyperlink ref="E338" r:id="rId15" display="https://www.barchart.com/forex/quotes/%5EUSDJPY/opinion" xr:uid="{1DA215BA-EA0C-4CBD-8D9B-CFF3A322AD2E}"/>
    <hyperlink ref="D200" r:id="rId16" xr:uid="{3FEB47C5-C6D2-4BF5-910A-687DE22AA372}"/>
    <hyperlink ref="D201" r:id="rId17" xr:uid="{5EBC3A31-F08B-4A35-BC9A-5D484F0DC6F1}"/>
    <hyperlink ref="D202" r:id="rId18" xr:uid="{164AAC84-6034-488F-A1E4-D5B34BA10BA3}"/>
    <hyperlink ref="C331" r:id="rId19" xr:uid="{AD1EA432-2758-43A5-8769-54747E973641}"/>
    <hyperlink ref="H187" r:id="rId20" display="https://peterknightadvisor.com/2018/11/19/australian-dollar/" xr:uid="{F503B5BC-130A-498A-97BC-5A842B2AAC43}"/>
    <hyperlink ref="H189" r:id="rId21" display="https://peterknightadvisor.com/2018/11/19/43449/" xr:uid="{B65EC027-3369-4973-A651-AEB34E93B4CD}"/>
    <hyperlink ref="H191" r:id="rId22" xr:uid="{92CCCCE3-B52F-473C-A187-18DE06929FAB}"/>
    <hyperlink ref="H190" r:id="rId23" display="https://peterknightadvisor.com/2018/11/19/canadian-dollar/" xr:uid="{275EE1E1-5C14-4FC7-B08A-A4FC322EE760}"/>
    <hyperlink ref="H188" r:id="rId24" display="https://peterknightadvisor.com/2018/11/19/euro-fx/" xr:uid="{B6618811-7B1C-4446-BC6D-94E9EBE28E7C}"/>
    <hyperlink ref="H192" r:id="rId25" display="https://peterknightadvisor.com/2018/11/19/japanese-yen/" xr:uid="{2699E6E5-8618-4E11-9A52-124951CC25D9}"/>
    <hyperlink ref="D203" r:id="rId26" xr:uid="{0B18405B-E5BC-4A9C-BB22-A5F0E41472CF}"/>
  </hyperlinks>
  <pageMargins left="0.7" right="0.7" top="0.75" bottom="0.75" header="0.3" footer="0.3"/>
  <pageSetup orientation="portrait" horizontalDpi="4294967293" verticalDpi="300" r:id="rId27"/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Knight</dc:creator>
  <cp:lastModifiedBy>Peter Knight</cp:lastModifiedBy>
  <dcterms:created xsi:type="dcterms:W3CDTF">2017-07-11T23:14:36Z</dcterms:created>
  <dcterms:modified xsi:type="dcterms:W3CDTF">2023-04-05T19:16:49Z</dcterms:modified>
</cp:coreProperties>
</file>